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2.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3.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4.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7.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8.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9.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0.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M:\PKDEP\KAPITALSABIEDRIBAS\KIP_sēdes\KIP_2026\"/>
    </mc:Choice>
  </mc:AlternateContent>
  <xr:revisionPtr revIDLastSave="0" documentId="8_{C784DDE7-F1C6-439D-95DF-0AB829A293E4}" xr6:coauthVersionLast="47" xr6:coauthVersionMax="47" xr10:uidLastSave="{00000000-0000-0000-0000-000000000000}"/>
  <bookViews>
    <workbookView xWindow="-108" yWindow="-108" windowWidth="23256" windowHeight="12456" tabRatio="847" xr2:uid="{00000000-000D-0000-FFFF-FFFF00000000}"/>
  </bookViews>
  <sheets>
    <sheet name="IEVADS" sheetId="6" r:id="rId1"/>
    <sheet name="PROCESS" sheetId="49" r:id="rId2"/>
    <sheet name="VKS PAMATA DATI" sheetId="1" r:id="rId3"/>
    <sheet name="SAL.UZŅ." sheetId="52" state="hidden" r:id="rId4"/>
    <sheet name="IPO &gt;" sheetId="51" state="hidden" r:id="rId5"/>
    <sheet name="IPO_CC" sheetId="50" state="hidden" r:id="rId6"/>
    <sheet name="FINANŠU MĒRĶU NOTEIKŠANA" sheetId="37" r:id="rId7"/>
    <sheet name="KOM_KS (p)" sheetId="34" state="hidden" r:id="rId8"/>
    <sheet name="COM_RT (f)" sheetId="35" state="hidden" r:id="rId9"/>
    <sheet name="COM_DP (f)" sheetId="36" state="hidden" r:id="rId10"/>
    <sheet name="COM_Summary (f)" sheetId="38" state="hidden" r:id="rId11"/>
    <sheet name="SD_BM (f)" sheetId="42" state="hidden" r:id="rId12"/>
    <sheet name="SD_CS (f)" sheetId="39" state="hidden" r:id="rId13"/>
    <sheet name="SD_RT (f)" sheetId="40" state="hidden" r:id="rId14"/>
    <sheet name="SD_DP (f)" sheetId="41" state="hidden" r:id="rId15"/>
    <sheet name="SD_Summary (f)" sheetId="43" state="hidden" r:id="rId16"/>
    <sheet name="PR &gt;" sheetId="13" state="hidden" r:id="rId17"/>
    <sheet name="COM_CS" sheetId="16" state="hidden" r:id="rId18"/>
    <sheet name="COM_RT" sheetId="19" state="hidden" r:id="rId19"/>
    <sheet name="COM_DP" sheetId="20" state="hidden" r:id="rId20"/>
    <sheet name="COM_Summary" sheetId="22" state="hidden" r:id="rId21"/>
    <sheet name="SD_CS" sheetId="23" state="hidden" r:id="rId22"/>
    <sheet name="SD_RT" sheetId="24" state="hidden" r:id="rId23"/>
    <sheet name="SD_DP" sheetId="25" state="hidden" r:id="rId24"/>
    <sheet name="SD_Summary" sheetId="27" state="hidden" r:id="rId25"/>
    <sheet name="SEGMENTATION" sheetId="8" state="hidden" r:id="rId26"/>
  </sheets>
  <definedNames>
    <definedName name="_xlnm._FilterDatabase" localSheetId="25" hidden="1">SEGMENTATION!$C$2:$D$82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7" i="37" l="1"/>
  <c r="F48" i="1" l="1"/>
  <c r="F47" i="1"/>
  <c r="F46" i="1"/>
  <c r="F52" i="1"/>
  <c r="F51" i="1"/>
  <c r="F45" i="1"/>
  <c r="J10" i="34"/>
  <c r="J11" i="34" s="1"/>
  <c r="I10" i="34"/>
  <c r="H10" i="34"/>
  <c r="G10" i="34"/>
  <c r="F6" i="34"/>
  <c r="F9" i="16" s="1"/>
  <c r="K18" i="1" l="1"/>
  <c r="G22" i="1" s="1"/>
  <c r="H167" i="37" l="1"/>
  <c r="H168" i="37"/>
  <c r="H166" i="37"/>
  <c r="G14" i="35" l="1"/>
  <c r="K199" i="42" l="1"/>
  <c r="L199" i="42"/>
  <c r="M199" i="42"/>
  <c r="K200" i="42"/>
  <c r="L200" i="42"/>
  <c r="M200" i="42"/>
  <c r="K201" i="42"/>
  <c r="L201" i="42"/>
  <c r="M201" i="42"/>
  <c r="K202" i="42"/>
  <c r="L202" i="42"/>
  <c r="M202" i="42"/>
  <c r="K203" i="42"/>
  <c r="L203" i="42"/>
  <c r="M203" i="42"/>
  <c r="K204" i="42"/>
  <c r="L204" i="42"/>
  <c r="M204" i="42"/>
  <c r="K205" i="42"/>
  <c r="L205" i="42"/>
  <c r="M205" i="42"/>
  <c r="K206" i="42"/>
  <c r="L206" i="42"/>
  <c r="M206" i="42"/>
  <c r="K207" i="42"/>
  <c r="L207" i="42"/>
  <c r="M207" i="42"/>
  <c r="K208" i="42"/>
  <c r="L208" i="42"/>
  <c r="M208" i="42"/>
  <c r="K209" i="42"/>
  <c r="L209" i="42"/>
  <c r="M209" i="42"/>
  <c r="K210" i="42"/>
  <c r="L210" i="42"/>
  <c r="M210" i="42"/>
  <c r="K211" i="42"/>
  <c r="L211" i="42"/>
  <c r="M211" i="42"/>
  <c r="K212" i="42"/>
  <c r="L212" i="42"/>
  <c r="M212" i="42"/>
  <c r="L198" i="42"/>
  <c r="M198" i="42"/>
  <c r="K198" i="42"/>
  <c r="K173" i="37"/>
  <c r="H192" i="42"/>
  <c r="H193" i="42"/>
  <c r="H191" i="42"/>
  <c r="K174" i="37"/>
  <c r="L174" i="37"/>
  <c r="M174" i="37"/>
  <c r="K175" i="37"/>
  <c r="L175" i="37"/>
  <c r="M175" i="37"/>
  <c r="K176" i="37"/>
  <c r="L176" i="37"/>
  <c r="M176" i="37"/>
  <c r="K177" i="37"/>
  <c r="L177" i="37"/>
  <c r="M177" i="37"/>
  <c r="K178" i="37"/>
  <c r="L178" i="37"/>
  <c r="M178" i="37"/>
  <c r="K179" i="37"/>
  <c r="L179" i="37"/>
  <c r="M179" i="37"/>
  <c r="K180" i="37"/>
  <c r="L180" i="37"/>
  <c r="M180" i="37"/>
  <c r="K181" i="37"/>
  <c r="L181" i="37"/>
  <c r="M181" i="37"/>
  <c r="K182" i="37"/>
  <c r="L182" i="37"/>
  <c r="M182" i="37"/>
  <c r="K183" i="37"/>
  <c r="L183" i="37"/>
  <c r="M183" i="37"/>
  <c r="K184" i="37"/>
  <c r="L184" i="37"/>
  <c r="M184" i="37"/>
  <c r="K185" i="37"/>
  <c r="L185" i="37"/>
  <c r="M185" i="37"/>
  <c r="K186" i="37"/>
  <c r="L186" i="37"/>
  <c r="M186" i="37"/>
  <c r="K187" i="37"/>
  <c r="L187" i="37"/>
  <c r="M187" i="37"/>
  <c r="L173" i="37"/>
  <c r="M173" i="37"/>
  <c r="K96" i="37"/>
  <c r="H192" i="37" l="1"/>
  <c r="Y71" i="27"/>
  <c r="S71" i="27"/>
  <c r="O71" i="27"/>
  <c r="K71" i="27"/>
  <c r="F71" i="27"/>
  <c r="Z22" i="24"/>
  <c r="Z22" i="19"/>
  <c r="Z21" i="24"/>
  <c r="J18" i="24"/>
  <c r="I18" i="24"/>
  <c r="H18" i="24"/>
  <c r="G18" i="24"/>
  <c r="J16" i="24"/>
  <c r="I16" i="24"/>
  <c r="H16" i="24"/>
  <c r="G16" i="24"/>
  <c r="J14" i="24"/>
  <c r="I14" i="24"/>
  <c r="H14" i="24"/>
  <c r="G14" i="24"/>
  <c r="Y71" i="22"/>
  <c r="S71" i="22"/>
  <c r="O71" i="22"/>
  <c r="K71" i="22"/>
  <c r="F71" i="22"/>
  <c r="AA22" i="19" a="1"/>
  <c r="AA22" i="24" a="1"/>
  <c r="AA21" i="19" a="1"/>
  <c r="AA21" i="24" a="1"/>
  <c r="AA22" i="24" l="1"/>
  <c r="AA21" i="24"/>
  <c r="AA22" i="19"/>
  <c r="AA21" i="19"/>
  <c r="J18" i="19" l="1"/>
  <c r="J16" i="19"/>
  <c r="J14" i="19"/>
  <c r="F12" i="41"/>
  <c r="J11" i="41"/>
  <c r="J10" i="41"/>
  <c r="I10" i="41"/>
  <c r="H10" i="41"/>
  <c r="G10" i="41"/>
  <c r="F41" i="40" l="1"/>
  <c r="J40" i="40"/>
  <c r="J39" i="40"/>
  <c r="I39" i="40"/>
  <c r="H39" i="40"/>
  <c r="G39" i="40"/>
  <c r="F33" i="40"/>
  <c r="J32" i="40"/>
  <c r="J31" i="40"/>
  <c r="I31" i="40"/>
  <c r="H31" i="40"/>
  <c r="G31" i="40"/>
  <c r="F25" i="40"/>
  <c r="J24" i="40"/>
  <c r="J23" i="40"/>
  <c r="I23" i="40"/>
  <c r="H23" i="40"/>
  <c r="G23" i="40"/>
  <c r="G18" i="40"/>
  <c r="G16" i="40"/>
  <c r="G17" i="40" s="1"/>
  <c r="G14" i="40"/>
  <c r="G10" i="40"/>
  <c r="O43" i="40" s="1"/>
  <c r="G8" i="40"/>
  <c r="O34" i="40" s="1"/>
  <c r="J11" i="39"/>
  <c r="J10" i="39"/>
  <c r="I10" i="39"/>
  <c r="H10" i="39"/>
  <c r="G10" i="39"/>
  <c r="F12" i="39"/>
  <c r="H45" i="42"/>
  <c r="H46" i="42"/>
  <c r="H44" i="42"/>
  <c r="H217" i="42"/>
  <c r="H170" i="42"/>
  <c r="H92" i="42"/>
  <c r="H23" i="42"/>
  <c r="J183" i="42"/>
  <c r="H183" i="42"/>
  <c r="J179" i="42"/>
  <c r="H179" i="42"/>
  <c r="J175" i="42"/>
  <c r="H175" i="42"/>
  <c r="J105" i="42"/>
  <c r="H105" i="42"/>
  <c r="J101" i="42"/>
  <c r="H101" i="42"/>
  <c r="J97" i="42"/>
  <c r="H97" i="42"/>
  <c r="H67" i="37"/>
  <c r="J36" i="42"/>
  <c r="H36" i="42"/>
  <c r="J32" i="42"/>
  <c r="H32" i="42"/>
  <c r="J28" i="42"/>
  <c r="H28" i="42"/>
  <c r="H70" i="42" l="1"/>
  <c r="G15" i="40"/>
  <c r="G19" i="40"/>
  <c r="O33" i="40"/>
  <c r="O32" i="40" s="1"/>
  <c r="O31" i="40" s="1"/>
  <c r="O35" i="40"/>
  <c r="O41" i="40"/>
  <c r="O40" i="40" s="1"/>
  <c r="O39" i="40" s="1"/>
  <c r="O42" i="40"/>
  <c r="K187" i="42"/>
  <c r="K109" i="42"/>
  <c r="K40" i="42"/>
  <c r="K84" i="37"/>
  <c r="K162" i="37"/>
  <c r="K32" i="40" l="1"/>
  <c r="L32" i="40" s="1"/>
  <c r="M32" i="40" s="1"/>
  <c r="N32" i="40" s="1"/>
  <c r="K40" i="40"/>
  <c r="L40" i="40" s="1"/>
  <c r="M40" i="40" s="1"/>
  <c r="N40" i="40" s="1"/>
  <c r="K52" i="42"/>
  <c r="L52" i="42"/>
  <c r="M52" i="42"/>
  <c r="K53" i="42"/>
  <c r="L53" i="42"/>
  <c r="M53" i="42"/>
  <c r="K54" i="42"/>
  <c r="L54" i="42"/>
  <c r="M54" i="42"/>
  <c r="K55" i="42"/>
  <c r="L55" i="42"/>
  <c r="M55" i="42"/>
  <c r="K56" i="42"/>
  <c r="L56" i="42"/>
  <c r="M56" i="42"/>
  <c r="K57" i="42"/>
  <c r="L57" i="42"/>
  <c r="M57" i="42"/>
  <c r="K58" i="42"/>
  <c r="L58" i="42"/>
  <c r="M58" i="42"/>
  <c r="K59" i="42"/>
  <c r="L59" i="42"/>
  <c r="M59" i="42"/>
  <c r="K60" i="42"/>
  <c r="L60" i="42"/>
  <c r="M60" i="42"/>
  <c r="K61" i="42"/>
  <c r="L61" i="42"/>
  <c r="M61" i="42"/>
  <c r="K62" i="42"/>
  <c r="L62" i="42"/>
  <c r="M62" i="42"/>
  <c r="K63" i="42"/>
  <c r="L63" i="42"/>
  <c r="M63" i="42"/>
  <c r="K64" i="42"/>
  <c r="L64" i="42"/>
  <c r="M64" i="42"/>
  <c r="K65" i="42"/>
  <c r="L65" i="42"/>
  <c r="M65" i="42"/>
  <c r="L51" i="42"/>
  <c r="M51" i="42"/>
  <c r="K51" i="42"/>
  <c r="K121" i="42"/>
  <c r="H52" i="42"/>
  <c r="H53" i="42"/>
  <c r="H54" i="42"/>
  <c r="H55" i="42"/>
  <c r="H56" i="42"/>
  <c r="H57" i="42"/>
  <c r="H58" i="42"/>
  <c r="H59" i="42"/>
  <c r="H60" i="42"/>
  <c r="H61" i="42"/>
  <c r="H62" i="42"/>
  <c r="H63" i="42"/>
  <c r="H64" i="42"/>
  <c r="H65" i="42"/>
  <c r="H51" i="42"/>
  <c r="H121" i="42"/>
  <c r="H212" i="42"/>
  <c r="H211" i="42"/>
  <c r="H210" i="42"/>
  <c r="H209" i="42"/>
  <c r="H208" i="42"/>
  <c r="H207" i="42"/>
  <c r="H206" i="42"/>
  <c r="H205" i="42"/>
  <c r="H204" i="42"/>
  <c r="H203" i="42"/>
  <c r="H202" i="42"/>
  <c r="H201" i="42"/>
  <c r="H200" i="42"/>
  <c r="M213" i="42"/>
  <c r="L213" i="42"/>
  <c r="H199" i="42"/>
  <c r="H198" i="42"/>
  <c r="H151" i="42"/>
  <c r="H146" i="42"/>
  <c r="M135" i="42"/>
  <c r="L135" i="42"/>
  <c r="K135" i="42"/>
  <c r="H135" i="42"/>
  <c r="M134" i="42"/>
  <c r="L134" i="42"/>
  <c r="K134" i="42"/>
  <c r="H134" i="42"/>
  <c r="M133" i="42"/>
  <c r="L133" i="42"/>
  <c r="K133" i="42"/>
  <c r="H133" i="42"/>
  <c r="M132" i="42"/>
  <c r="L132" i="42"/>
  <c r="K132" i="42"/>
  <c r="H132" i="42"/>
  <c r="M131" i="42"/>
  <c r="L131" i="42"/>
  <c r="K131" i="42"/>
  <c r="H131" i="42"/>
  <c r="M130" i="42"/>
  <c r="L130" i="42"/>
  <c r="K130" i="42"/>
  <c r="H130" i="42"/>
  <c r="M129" i="42"/>
  <c r="L129" i="42"/>
  <c r="K129" i="42"/>
  <c r="H129" i="42"/>
  <c r="M128" i="42"/>
  <c r="L128" i="42"/>
  <c r="K128" i="42"/>
  <c r="H128" i="42"/>
  <c r="M127" i="42"/>
  <c r="L127" i="42"/>
  <c r="K127" i="42"/>
  <c r="H127" i="42"/>
  <c r="M126" i="42"/>
  <c r="L126" i="42"/>
  <c r="K126" i="42"/>
  <c r="H126" i="42"/>
  <c r="M125" i="42"/>
  <c r="L125" i="42"/>
  <c r="K125" i="42"/>
  <c r="H125" i="42"/>
  <c r="M124" i="42"/>
  <c r="L124" i="42"/>
  <c r="K124" i="42"/>
  <c r="H124" i="42"/>
  <c r="M123" i="42"/>
  <c r="L123" i="42"/>
  <c r="K123" i="42"/>
  <c r="H123" i="42"/>
  <c r="M122" i="42"/>
  <c r="L122" i="42"/>
  <c r="K122" i="42"/>
  <c r="H122" i="42"/>
  <c r="M121" i="42"/>
  <c r="M136" i="42" s="1"/>
  <c r="L121" i="42"/>
  <c r="H116" i="42"/>
  <c r="H115" i="42"/>
  <c r="H114" i="42"/>
  <c r="L136" i="42" l="1"/>
  <c r="K136" i="42"/>
  <c r="H140" i="42"/>
  <c r="L66" i="42"/>
  <c r="K66" i="42"/>
  <c r="H141" i="42"/>
  <c r="K213" i="42"/>
  <c r="H218" i="42" s="1"/>
  <c r="H219" i="42" s="1"/>
  <c r="Y16" i="40"/>
  <c r="Y17" i="40"/>
  <c r="M66" i="42"/>
  <c r="Y20" i="40"/>
  <c r="Y21" i="40"/>
  <c r="J24" i="35"/>
  <c r="J23" i="35"/>
  <c r="J11" i="36"/>
  <c r="J10" i="36"/>
  <c r="I10" i="36"/>
  <c r="H10" i="36"/>
  <c r="G10" i="36"/>
  <c r="J40" i="35"/>
  <c r="J39" i="35"/>
  <c r="J32" i="35"/>
  <c r="J31" i="35"/>
  <c r="I39" i="35"/>
  <c r="H39" i="35"/>
  <c r="G39" i="35"/>
  <c r="I31" i="35"/>
  <c r="H31" i="35"/>
  <c r="G31" i="35"/>
  <c r="I23" i="35"/>
  <c r="H23" i="35"/>
  <c r="G23" i="35"/>
  <c r="G18" i="35"/>
  <c r="G16" i="35"/>
  <c r="G10" i="35"/>
  <c r="G8" i="35"/>
  <c r="H126" i="37"/>
  <c r="H121" i="37"/>
  <c r="Z16" i="40" a="1"/>
  <c r="Z20" i="40" a="1"/>
  <c r="Z17" i="40" a="1"/>
  <c r="Z21" i="40" a="1"/>
  <c r="H142" i="42" l="1"/>
  <c r="H71" i="42"/>
  <c r="H72" i="42" s="1"/>
  <c r="G6" i="39" s="1"/>
  <c r="O12" i="39" s="1"/>
  <c r="Z17" i="40"/>
  <c r="Z16" i="40"/>
  <c r="G8" i="19"/>
  <c r="G34" i="19" s="1"/>
  <c r="G8" i="24"/>
  <c r="G10" i="19"/>
  <c r="G37" i="19" s="1"/>
  <c r="G10" i="24"/>
  <c r="Z21" i="40"/>
  <c r="Z20" i="40"/>
  <c r="O43" i="35"/>
  <c r="O42" i="35"/>
  <c r="O35" i="35"/>
  <c r="O34" i="35"/>
  <c r="H145" i="37"/>
  <c r="G38" i="19" l="1"/>
  <c r="O13" i="39"/>
  <c r="G11" i="23" s="1"/>
  <c r="F70" i="27" s="1"/>
  <c r="O14" i="39"/>
  <c r="G13" i="23" s="1"/>
  <c r="F72" i="27" s="1"/>
  <c r="G6" i="23"/>
  <c r="G35" i="19"/>
  <c r="Z15" i="19" s="1"/>
  <c r="O70" i="27"/>
  <c r="O70" i="22"/>
  <c r="G34" i="24"/>
  <c r="O67" i="27"/>
  <c r="O69" i="27" s="1"/>
  <c r="G35" i="24"/>
  <c r="S70" i="27"/>
  <c r="S70" i="22"/>
  <c r="S72" i="22"/>
  <c r="S72" i="27"/>
  <c r="G38" i="24"/>
  <c r="S67" i="27"/>
  <c r="S69" i="27" s="1"/>
  <c r="G37" i="24"/>
  <c r="Z18" i="19"/>
  <c r="AA16" i="22" s="1"/>
  <c r="K11" i="39"/>
  <c r="L11" i="39" s="1"/>
  <c r="M11" i="39" s="1"/>
  <c r="N11" i="39" s="1"/>
  <c r="O11" i="39"/>
  <c r="O10" i="39" s="1"/>
  <c r="F67" i="27"/>
  <c r="K188" i="37"/>
  <c r="H174" i="37"/>
  <c r="H175" i="37"/>
  <c r="H176" i="37"/>
  <c r="H177" i="37"/>
  <c r="H178" i="37"/>
  <c r="H179" i="37"/>
  <c r="H180" i="37"/>
  <c r="H181" i="37"/>
  <c r="H182" i="37"/>
  <c r="H183" i="37"/>
  <c r="H184" i="37"/>
  <c r="H185" i="37"/>
  <c r="H186" i="37"/>
  <c r="H187" i="37"/>
  <c r="H173" i="37"/>
  <c r="H96" i="37"/>
  <c r="H110" i="37"/>
  <c r="H109" i="37"/>
  <c r="H108" i="37"/>
  <c r="H107" i="37"/>
  <c r="H106" i="37"/>
  <c r="H105" i="37"/>
  <c r="H104" i="37"/>
  <c r="H103" i="37"/>
  <c r="H102" i="37"/>
  <c r="H101" i="37"/>
  <c r="H100" i="37"/>
  <c r="H99" i="37"/>
  <c r="H98" i="37"/>
  <c r="H97" i="37"/>
  <c r="AB16" i="22" a="1"/>
  <c r="AA15" i="19" a="1"/>
  <c r="I15" i="23" l="1"/>
  <c r="X11" i="23"/>
  <c r="AA8" i="27" s="1"/>
  <c r="H15" i="23"/>
  <c r="G15" i="23"/>
  <c r="X10" i="23"/>
  <c r="AA7" i="27" s="1"/>
  <c r="J15" i="23"/>
  <c r="O72" i="27"/>
  <c r="Z16" i="19"/>
  <c r="AA14" i="22" s="1"/>
  <c r="O72" i="22"/>
  <c r="Z15" i="24"/>
  <c r="AA13" i="27" s="1"/>
  <c r="Z16" i="24"/>
  <c r="AA14" i="27" s="1"/>
  <c r="Z18" i="24"/>
  <c r="AA16" i="27" s="1"/>
  <c r="AA15" i="19"/>
  <c r="AA13" i="22"/>
  <c r="AB16" i="22"/>
  <c r="Z19" i="24"/>
  <c r="X10" i="39"/>
  <c r="X11" i="39"/>
  <c r="L188" i="37"/>
  <c r="M188" i="37"/>
  <c r="J158" i="37"/>
  <c r="H158" i="37"/>
  <c r="J154" i="37"/>
  <c r="H154" i="37"/>
  <c r="J150" i="37"/>
  <c r="H150" i="37"/>
  <c r="AA16" i="19" a="1"/>
  <c r="AA18" i="24" a="1"/>
  <c r="Y11" i="39" a="1"/>
  <c r="AB13" i="27" a="1"/>
  <c r="AA16" i="24" a="1"/>
  <c r="Y11" i="23" a="1"/>
  <c r="AB16" i="27" a="1"/>
  <c r="AB14" i="22" a="1"/>
  <c r="AA19" i="24" a="1"/>
  <c r="Y10" i="23" a="1"/>
  <c r="AB7" i="27" a="1"/>
  <c r="AB14" i="27" a="1"/>
  <c r="AA15" i="24" a="1"/>
  <c r="Y10" i="39" a="1"/>
  <c r="AB8" i="27" a="1"/>
  <c r="Y11" i="23" l="1"/>
  <c r="Y10" i="23"/>
  <c r="AA16" i="19"/>
  <c r="AA15" i="24"/>
  <c r="AA18" i="24"/>
  <c r="AA16" i="24"/>
  <c r="H193" i="37"/>
  <c r="AB13" i="27"/>
  <c r="AB14" i="22"/>
  <c r="AB14" i="27"/>
  <c r="AA19" i="24"/>
  <c r="AB16" i="27"/>
  <c r="J27" i="24"/>
  <c r="AA17" i="27"/>
  <c r="H27" i="24"/>
  <c r="I27" i="24"/>
  <c r="G27" i="24"/>
  <c r="Y10" i="39"/>
  <c r="AB8" i="27"/>
  <c r="AB7" i="27"/>
  <c r="Y11" i="39"/>
  <c r="K97" i="37"/>
  <c r="L97" i="37"/>
  <c r="M97" i="37"/>
  <c r="K98" i="37"/>
  <c r="L98" i="37"/>
  <c r="M98" i="37"/>
  <c r="K99" i="37"/>
  <c r="L99" i="37"/>
  <c r="M99" i="37"/>
  <c r="K100" i="37"/>
  <c r="L100" i="37"/>
  <c r="M100" i="37"/>
  <c r="K101" i="37"/>
  <c r="L101" i="37"/>
  <c r="M101" i="37"/>
  <c r="K102" i="37"/>
  <c r="L102" i="37"/>
  <c r="M102" i="37"/>
  <c r="K103" i="37"/>
  <c r="L103" i="37"/>
  <c r="M103" i="37"/>
  <c r="K104" i="37"/>
  <c r="L104" i="37"/>
  <c r="M104" i="37"/>
  <c r="K105" i="37"/>
  <c r="L105" i="37"/>
  <c r="M105" i="37"/>
  <c r="K106" i="37"/>
  <c r="L106" i="37"/>
  <c r="M106" i="37"/>
  <c r="K107" i="37"/>
  <c r="L107" i="37"/>
  <c r="M107" i="37"/>
  <c r="K108" i="37"/>
  <c r="L108" i="37"/>
  <c r="M108" i="37"/>
  <c r="K109" i="37"/>
  <c r="L109" i="37"/>
  <c r="M109" i="37"/>
  <c r="K110" i="37"/>
  <c r="L110" i="37"/>
  <c r="M110" i="37"/>
  <c r="L96" i="37"/>
  <c r="M96" i="37"/>
  <c r="AB17" i="27" a="1"/>
  <c r="AB17" i="27" l="1"/>
  <c r="H194" i="37"/>
  <c r="M111" i="37"/>
  <c r="L111" i="37"/>
  <c r="K111" i="37"/>
  <c r="H91" i="37"/>
  <c r="H90" i="37"/>
  <c r="H89" i="37"/>
  <c r="J80" i="37"/>
  <c r="J76" i="37"/>
  <c r="J72" i="37"/>
  <c r="H80" i="37"/>
  <c r="H76" i="37"/>
  <c r="H72" i="37"/>
  <c r="F11" i="34" l="1"/>
  <c r="G45" i="37"/>
  <c r="G46" i="37"/>
  <c r="H115" i="37"/>
  <c r="J6" i="36"/>
  <c r="O14" i="36" s="1"/>
  <c r="G6" i="25"/>
  <c r="G6" i="20"/>
  <c r="J6" i="41"/>
  <c r="H116" i="37"/>
  <c r="H45" i="37"/>
  <c r="H46" i="37"/>
  <c r="H117" i="37" l="1"/>
  <c r="G6" i="24" s="1"/>
  <c r="O12" i="36"/>
  <c r="K11" i="36" s="1"/>
  <c r="O13" i="36"/>
  <c r="O12" i="41"/>
  <c r="O14" i="41"/>
  <c r="O13" i="41"/>
  <c r="Y67" i="27"/>
  <c r="Y69" i="27" s="1"/>
  <c r="G11" i="25"/>
  <c r="G13" i="25"/>
  <c r="H47" i="37"/>
  <c r="G6" i="34" l="1"/>
  <c r="G6" i="16" s="1"/>
  <c r="G6" i="19"/>
  <c r="G32" i="19" s="1"/>
  <c r="G6" i="35"/>
  <c r="O27" i="35" s="1"/>
  <c r="G6" i="40"/>
  <c r="O27" i="40" s="1"/>
  <c r="O11" i="36"/>
  <c r="O10" i="36" s="1"/>
  <c r="G15" i="25"/>
  <c r="J15" i="25"/>
  <c r="H15" i="25"/>
  <c r="I15" i="25"/>
  <c r="G32" i="24"/>
  <c r="K67" i="27"/>
  <c r="K69" i="27" s="1"/>
  <c r="G31" i="24"/>
  <c r="Y10" i="25"/>
  <c r="Y11" i="25"/>
  <c r="O11" i="41"/>
  <c r="O10" i="41" s="1"/>
  <c r="K11" i="41"/>
  <c r="L11" i="41" s="1"/>
  <c r="M11" i="41" s="1"/>
  <c r="N11" i="41" s="1"/>
  <c r="L11" i="36"/>
  <c r="M11" i="36" s="1"/>
  <c r="N11" i="36" s="1"/>
  <c r="Z11" i="25" a="1"/>
  <c r="Z10" i="25" a="1"/>
  <c r="O13" i="34" l="1"/>
  <c r="G11" i="16" s="1"/>
  <c r="F70" i="22" s="1"/>
  <c r="O25" i="40"/>
  <c r="O24" i="40" s="1"/>
  <c r="O23" i="40" s="1"/>
  <c r="O26" i="35"/>
  <c r="O25" i="35"/>
  <c r="K24" i="35" s="1"/>
  <c r="G31" i="19"/>
  <c r="Z13" i="19" s="1"/>
  <c r="K67" i="22"/>
  <c r="K69" i="22" s="1"/>
  <c r="O14" i="34"/>
  <c r="G13" i="16" s="1"/>
  <c r="F72" i="22" s="1"/>
  <c r="O12" i="34"/>
  <c r="O11" i="34" s="1"/>
  <c r="O10" i="34" s="1"/>
  <c r="O26" i="40"/>
  <c r="AA11" i="36"/>
  <c r="AA12" i="36"/>
  <c r="Z13" i="24"/>
  <c r="AA11" i="27" s="1"/>
  <c r="Z10" i="25"/>
  <c r="Z11" i="25"/>
  <c r="Z12" i="24"/>
  <c r="K24" i="40"/>
  <c r="L24" i="40" s="1"/>
  <c r="M24" i="40" s="1"/>
  <c r="N24" i="40" s="1"/>
  <c r="AA19" i="27"/>
  <c r="AA11" i="41"/>
  <c r="AA10" i="41"/>
  <c r="K72" i="22"/>
  <c r="K72" i="27"/>
  <c r="AA20" i="27"/>
  <c r="O24" i="35"/>
  <c r="O23" i="35" s="1"/>
  <c r="G18" i="19"/>
  <c r="G16" i="19"/>
  <c r="G14" i="19"/>
  <c r="H14" i="19"/>
  <c r="G17" i="35"/>
  <c r="AA12" i="19" a="1"/>
  <c r="AB10" i="22" a="1"/>
  <c r="AA12" i="24" a="1"/>
  <c r="AB10" i="41" a="1"/>
  <c r="AB11" i="27" a="1"/>
  <c r="AA13" i="19" a="1"/>
  <c r="AB11" i="41" a="1"/>
  <c r="AB19" i="27" a="1"/>
  <c r="AA13" i="24" a="1"/>
  <c r="AB20" i="27" a="1"/>
  <c r="Z12" i="19" l="1"/>
  <c r="AA10" i="22" s="1"/>
  <c r="K70" i="27"/>
  <c r="K70" i="22"/>
  <c r="AB10" i="41"/>
  <c r="AB11" i="41"/>
  <c r="AA13" i="24"/>
  <c r="AA12" i="19"/>
  <c r="AA13" i="19"/>
  <c r="AA12" i="24"/>
  <c r="AB10" i="22"/>
  <c r="AB11" i="27"/>
  <c r="AB20" i="27"/>
  <c r="AB19" i="27"/>
  <c r="AA11" i="22"/>
  <c r="AA10" i="27"/>
  <c r="Y12" i="40"/>
  <c r="Y13" i="40"/>
  <c r="G19" i="35"/>
  <c r="G15" i="35"/>
  <c r="Z12" i="40" a="1"/>
  <c r="Z13" i="40" a="1"/>
  <c r="AB10" i="27" a="1"/>
  <c r="AB11" i="22" a="1"/>
  <c r="AB10" i="27" l="1"/>
  <c r="AB11" i="22"/>
  <c r="Z13" i="40"/>
  <c r="Z12" i="40"/>
  <c r="F41" i="35"/>
  <c r="F12" i="36"/>
  <c r="F67" i="22" l="1"/>
  <c r="F69" i="22" s="1"/>
  <c r="H15" i="16"/>
  <c r="X11" i="16"/>
  <c r="X10" i="16"/>
  <c r="I15" i="16"/>
  <c r="J15" i="16"/>
  <c r="G15" i="16"/>
  <c r="O41" i="35"/>
  <c r="O40" i="35" s="1"/>
  <c r="O39" i="35" s="1"/>
  <c r="AB21" i="43" l="1"/>
  <c r="AB22" i="43"/>
  <c r="AC22" i="43" a="1"/>
  <c r="AC21" i="43" a="1"/>
  <c r="AC22" i="43" l="1"/>
  <c r="AC21" i="43"/>
  <c r="Y67" i="22"/>
  <c r="F12" i="34" l="1"/>
  <c r="F33" i="35"/>
  <c r="F25" i="35"/>
  <c r="O33" i="35" l="1"/>
  <c r="K32" i="35" l="1"/>
  <c r="O32" i="35"/>
  <c r="O31" i="35" s="1"/>
  <c r="AB17" i="43"/>
  <c r="AB18" i="43"/>
  <c r="AC17" i="43" a="1"/>
  <c r="AC18" i="43" a="1"/>
  <c r="AC18" i="43" l="1"/>
  <c r="AC17" i="43"/>
  <c r="AB10" i="43"/>
  <c r="AB9" i="43"/>
  <c r="AC10" i="43" a="1"/>
  <c r="AC9" i="43" a="1"/>
  <c r="AC9" i="43" l="1"/>
  <c r="AC10" i="43"/>
  <c r="AB14" i="43"/>
  <c r="AB13" i="43"/>
  <c r="AC13" i="43" a="1"/>
  <c r="AC14" i="43" a="1"/>
  <c r="AC13" i="43" l="1"/>
  <c r="AC14" i="43"/>
  <c r="AB25" i="43"/>
  <c r="AC25" i="43" a="1"/>
  <c r="AC25" i="43" l="1"/>
  <c r="AB26" i="43"/>
  <c r="K11" i="34"/>
  <c r="AC26" i="43" a="1"/>
  <c r="AC26" i="43" l="1"/>
  <c r="O67" i="22"/>
  <c r="O69" i="22" s="1"/>
  <c r="F69" i="27"/>
  <c r="L11" i="34" l="1"/>
  <c r="L32" i="35"/>
  <c r="H18" i="19"/>
  <c r="S67" i="22" l="1"/>
  <c r="S69" i="22" s="1"/>
  <c r="M11" i="34"/>
  <c r="N11" i="34" s="1"/>
  <c r="M32" i="35"/>
  <c r="N32" i="35" s="1"/>
  <c r="H16" i="19"/>
  <c r="I18" i="19"/>
  <c r="Y17" i="35" l="1"/>
  <c r="X12" i="34"/>
  <c r="AB8" i="38" s="1"/>
  <c r="X11" i="34"/>
  <c r="Y18" i="35"/>
  <c r="K40" i="35"/>
  <c r="I14" i="19"/>
  <c r="I16" i="19"/>
  <c r="Y12" i="34" a="1"/>
  <c r="Z18" i="35" a="1"/>
  <c r="AC8" i="38" a="1"/>
  <c r="Y11" i="34" a="1"/>
  <c r="Z17" i="35" a="1"/>
  <c r="Y11" i="34" l="1"/>
  <c r="Y12" i="34"/>
  <c r="AB7" i="38"/>
  <c r="L40" i="35"/>
  <c r="M40" i="35" s="1"/>
  <c r="N40" i="35" s="1"/>
  <c r="Z18" i="35"/>
  <c r="Z17" i="35"/>
  <c r="AB16" i="38"/>
  <c r="AB15" i="38"/>
  <c r="AC8" i="38"/>
  <c r="AB24" i="38"/>
  <c r="Y69" i="22"/>
  <c r="G11" i="20"/>
  <c r="G13" i="20"/>
  <c r="AC24" i="38" a="1"/>
  <c r="Y10" i="16" a="1"/>
  <c r="AC15" i="38" a="1"/>
  <c r="AB12" i="36" a="1"/>
  <c r="Y11" i="16" a="1"/>
  <c r="AC16" i="38" a="1"/>
  <c r="AC7" i="38" a="1"/>
  <c r="AB11" i="36" a="1"/>
  <c r="AC7" i="38" l="1"/>
  <c r="Y72" i="22"/>
  <c r="Y72" i="27"/>
  <c r="Y70" i="27"/>
  <c r="Y70" i="22"/>
  <c r="G15" i="20"/>
  <c r="I15" i="20"/>
  <c r="Y11" i="20"/>
  <c r="H15" i="20"/>
  <c r="Y10" i="20"/>
  <c r="J15" i="20"/>
  <c r="Y22" i="35"/>
  <c r="AB20" i="38" s="1"/>
  <c r="Y21" i="35"/>
  <c r="AC24" i="38"/>
  <c r="AC15" i="38"/>
  <c r="AC16" i="38"/>
  <c r="AB11" i="36"/>
  <c r="AB23" i="38"/>
  <c r="AB12" i="36"/>
  <c r="Y11" i="16"/>
  <c r="Y10" i="16"/>
  <c r="AA8" i="22"/>
  <c r="AA7" i="22"/>
  <c r="Z22" i="35" a="1"/>
  <c r="Z10" i="20" a="1"/>
  <c r="Z21" i="35" a="1"/>
  <c r="AB7" i="22" a="1"/>
  <c r="AC23" i="38" a="1"/>
  <c r="AC20" i="38" a="1"/>
  <c r="Z11" i="20" a="1"/>
  <c r="AB8" i="22" a="1"/>
  <c r="Z11" i="20" l="1"/>
  <c r="Z10" i="20"/>
  <c r="Z22" i="35"/>
  <c r="AB7" i="22"/>
  <c r="AB8" i="22"/>
  <c r="AC23" i="38"/>
  <c r="Z21" i="35"/>
  <c r="AB19" i="38"/>
  <c r="AC20" i="38"/>
  <c r="AA19" i="22"/>
  <c r="AA20" i="22"/>
  <c r="AB19" i="22" a="1"/>
  <c r="AC19" i="38" a="1"/>
  <c r="AB20" i="22" a="1"/>
  <c r="AB20" i="22" l="1"/>
  <c r="AB19" i="22"/>
  <c r="AC19" i="38"/>
  <c r="L24" i="35" l="1"/>
  <c r="M24" i="35" l="1"/>
  <c r="N24" i="35" s="1"/>
  <c r="Y13" i="35" l="1"/>
  <c r="AB11" i="38" s="1"/>
  <c r="Y14" i="35"/>
  <c r="AB12" i="38" s="1"/>
  <c r="AC12" i="38" a="1"/>
  <c r="AC11" i="38" a="1"/>
  <c r="Z14" i="35" a="1"/>
  <c r="AB13" i="22" a="1"/>
  <c r="Z13" i="35" a="1"/>
  <c r="AB13" i="22" l="1"/>
  <c r="Z13" i="35"/>
  <c r="Z14" i="35"/>
  <c r="AC11" i="38"/>
  <c r="AC12" i="38"/>
  <c r="Z19" i="19"/>
  <c r="AA17" i="22" s="1"/>
  <c r="AB17" i="22" a="1"/>
  <c r="AA18" i="19" a="1"/>
  <c r="AA19" i="19" a="1"/>
  <c r="AB17" i="22" l="1"/>
  <c r="AA19" i="19"/>
  <c r="AA18" i="19"/>
  <c r="J27" i="19"/>
  <c r="I27" i="19"/>
  <c r="H27" i="19"/>
  <c r="G27"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<sst xmlns="http://schemas.openxmlformats.org/spreadsheetml/2006/main" count="1654" uniqueCount="611">
  <si>
    <t>Aaa</t>
  </si>
  <si>
    <t>Aa</t>
  </si>
  <si>
    <t>A</t>
  </si>
  <si>
    <t>Baa</t>
  </si>
  <si>
    <t>Ba</t>
  </si>
  <si>
    <t>B</t>
  </si>
  <si>
    <t>Caa</t>
  </si>
  <si>
    <t>N/A</t>
  </si>
  <si>
    <t>AirBaltic Corporation, AS</t>
  </si>
  <si>
    <t>Aknīstes psihoneiroloģiskā slimnīca, VSIA</t>
  </si>
  <si>
    <t>Attīstības finanšu institūcija Altum, AS</t>
  </si>
  <si>
    <t>Augstsprieguma tīkls, AS</t>
  </si>
  <si>
    <t>Autotransporta direkcija, VSIA</t>
  </si>
  <si>
    <t>Bērnu klīniskā universitātes slimnīca, VSIA</t>
  </si>
  <si>
    <t>Bērnu psihoneiroloģiskā slimnīca Ainaži, VSIA</t>
  </si>
  <si>
    <t>Bobsleja un kamaniņu trase Sigulda, SIA</t>
  </si>
  <si>
    <t>Bulduru Dārzkopības vidusskola, VSIA</t>
  </si>
  <si>
    <t>Ceļu satiksmes drošības direkcija, VAS</t>
  </si>
  <si>
    <t>Dailes teātris, VSIA</t>
  </si>
  <si>
    <t>Daugavpils psihoneiroloģiskā slimnīca, VSIA</t>
  </si>
  <si>
    <t>Daugavpils teātris, VSIA</t>
  </si>
  <si>
    <t>Eiropas dzelzceļa līnijas, SIA</t>
  </si>
  <si>
    <t>Elektroniskie sakari, VAS</t>
  </si>
  <si>
    <t>Hiponia, SIA</t>
  </si>
  <si>
    <t>Iekšlietu ministrijas poliklīnika, VSIA</t>
  </si>
  <si>
    <t>Jaunais Rīgas teātris, VSIA</t>
  </si>
  <si>
    <t>KREMERATA BALTICA, VSIA</t>
  </si>
  <si>
    <t>Kultūras un sporta centrs Daugavas stadions, VSAI</t>
  </si>
  <si>
    <t>Latvenergo, AS (koncerns)</t>
  </si>
  <si>
    <t>Latvijas autoceļu uzturētājs, AS</t>
  </si>
  <si>
    <t>Latvijas dzelzceļš, VAS (koncerns)</t>
  </si>
  <si>
    <t>Latvijas elektriskie tīkli, AS</t>
  </si>
  <si>
    <t>Latvijas gaisa satiksme, VAS</t>
  </si>
  <si>
    <t>Latvijas Jūras administrācija, VAS</t>
  </si>
  <si>
    <t>Latvijas Koncerti, VSIA</t>
  </si>
  <si>
    <t>Latvijas Lauku konsultāciju un izglītības centrs, SIA</t>
  </si>
  <si>
    <t>Latvijas Leļļu teātris, VSIA</t>
  </si>
  <si>
    <t>Latvijas Loto, VAS</t>
  </si>
  <si>
    <t>Latvijas Nacionālā opera un balets, VSIA</t>
  </si>
  <si>
    <t>Latvijas Nacionālais metroloģijas centrs, SIA</t>
  </si>
  <si>
    <t>Latvijas Nacionālais simfoniskais orķestris, VSIA</t>
  </si>
  <si>
    <t>Latvijas Nacionālais teātris, VSIA</t>
  </si>
  <si>
    <t>Latvijas Pasts, VAS</t>
  </si>
  <si>
    <t>Latvijas Proves birojs, VSIA</t>
  </si>
  <si>
    <t>Latvijas Radio, VSIA</t>
  </si>
  <si>
    <t>Latvijas Standarts, SIA</t>
  </si>
  <si>
    <t>Latvijas Televīzija, VSIA</t>
  </si>
  <si>
    <t>Latvijas Valsts ceļi, VSIA</t>
  </si>
  <si>
    <t>Latvijas Valsts meži, VAS</t>
  </si>
  <si>
    <t>Latvijas Valsts radio un televīzijas centrs, VAS</t>
  </si>
  <si>
    <t>Latvijas Vēstnesis, VSIA</t>
  </si>
  <si>
    <t>Latvijas Vides, ģeoloģijas un meteoroloģijas centrs, VSIA</t>
  </si>
  <si>
    <t>LDZ Cargo, SIA</t>
  </si>
  <si>
    <t>LDZ infrastruktūra, SIA</t>
  </si>
  <si>
    <t>LDZ Ritošā sastāva serviss, SIA</t>
  </si>
  <si>
    <t>Lielstraupes pils, SIA</t>
  </si>
  <si>
    <t>Liepājas Simfoniskais orķestris, VSIA</t>
  </si>
  <si>
    <t>Ludzas medicīnas centrs, SIA</t>
  </si>
  <si>
    <t>Meliorprojekts, VSIA</t>
  </si>
  <si>
    <t>Mihaila Čehova Rīgas Krievu teātris, VSIA</t>
  </si>
  <si>
    <t>Nacionālais rehabilitācijas centrs Vaivari, VSIA</t>
  </si>
  <si>
    <t>Pasažieru vilciens, AS</t>
  </si>
  <si>
    <t>Paula Stradiņa klīniskā universitātes slimnīca, VSIA</t>
  </si>
  <si>
    <t>Piejūras slimnīca, VSIA</t>
  </si>
  <si>
    <t>Publisko aktīvu pārvaldītājs Possessor, AS</t>
  </si>
  <si>
    <t>Reverta, AS (koncerns)</t>
  </si>
  <si>
    <t>Rīgas Austrumu klīniskā universitātes slimnīca, SIA</t>
  </si>
  <si>
    <t>Rīgas cirks, VSIA</t>
  </si>
  <si>
    <t>Rīgas psihiatrijas un narkoloģijas centrs, VSIA</t>
  </si>
  <si>
    <t>Rīgas Tūrisma un radošās industrijas tehnikums, VSIA</t>
  </si>
  <si>
    <t>Sadales tīkls, AS</t>
  </si>
  <si>
    <t>Šampētera nams, VSIA</t>
  </si>
  <si>
    <t>Slimnīca Ģintermuiža, VSIA</t>
  </si>
  <si>
    <t>Sporta centrs Mežaparks, SIA</t>
  </si>
  <si>
    <t>Standartizācijas, akreditācijas un metroloģijas centrs, SIA</t>
  </si>
  <si>
    <t>Starptautiskā lidosta Rīga, VAS</t>
  </si>
  <si>
    <t>Strenču psihoneiroloģiskā slimnīca, VSIA</t>
  </si>
  <si>
    <t>Tenisa centrs Lielupe, SIA</t>
  </si>
  <si>
    <t>TET, SIA (koncerns)</t>
  </si>
  <si>
    <t>Tiesu namu aģentūra, VAS</t>
  </si>
  <si>
    <t>Traumatoloģijas un ortopēdijas slimnīca, VSIA</t>
  </si>
  <si>
    <t>Valmieras drāmas teātris, VSIA</t>
  </si>
  <si>
    <t>Valsts Akadēmiskais koris Latvija, VSIA</t>
  </si>
  <si>
    <t>Valsts nekustamie īpašumi, VAS</t>
  </si>
  <si>
    <t>Veselības centrs Biķernieki, SIA</t>
  </si>
  <si>
    <t>Vides investīciju fonds, VSIA</t>
  </si>
  <si>
    <t>Zemkopības ministrijas nekustamie īpašumi, SIA</t>
  </si>
  <si>
    <t>Advertising</t>
  </si>
  <si>
    <t>Aerospace/Defense</t>
  </si>
  <si>
    <t>Air Transport</t>
  </si>
  <si>
    <t>Apparel</t>
  </si>
  <si>
    <t>Auto &amp; Truck</t>
  </si>
  <si>
    <t>Auto Parts</t>
  </si>
  <si>
    <t>Bank (Money Center)</t>
  </si>
  <si>
    <t>Banks (Regional)</t>
  </si>
  <si>
    <t>Beverage (Alcoholic)</t>
  </si>
  <si>
    <t>Beverage (Soft)</t>
  </si>
  <si>
    <t>Broadcasting</t>
  </si>
  <si>
    <t>Brokerage &amp; Investment Banking</t>
  </si>
  <si>
    <t>Building Materials</t>
  </si>
  <si>
    <t>Business &amp; Consumer Services</t>
  </si>
  <si>
    <t>Cable TV</t>
  </si>
  <si>
    <t>Chemical (Basic)</t>
  </si>
  <si>
    <t>Chemical (Diversified)</t>
  </si>
  <si>
    <t>Chemical (Specialty)</t>
  </si>
  <si>
    <t>Education</t>
  </si>
  <si>
    <t>Electrical Equipment</t>
  </si>
  <si>
    <t>Electronics (Consumer &amp; Office)</t>
  </si>
  <si>
    <t>Electronics (General)</t>
  </si>
  <si>
    <t>Engineering/Construction</t>
  </si>
  <si>
    <t>Entertainment</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</si>
  <si>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</si>
  <si>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</si>
  <si>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</si>
  <si>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</si>
  <si>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</si>
  <si>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</si>
  <si>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</si>
  <si>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</si>
  <si>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</si>
  <si>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</si>
  <si>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</si>
  <si>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</si>
  <si>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</si>
  <si>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</si>
  <si>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</si>
  <si>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</si>
  <si>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</si>
  <si>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</si>
  <si>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</si>
  <si>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</si>
  <si>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Metals &amp; Mining</t>
  </si>
  <si>
    <t>Office Equipment &amp; Services</t>
  </si>
  <si>
    <t>Oil/Gas (Integrated)</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</si>
  <si>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</si>
  <si>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</si>
  <si>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</si>
  <si>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</si>
  <si>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</si>
  <si>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</si>
  <si>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</si>
  <si>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</si>
  <si>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</si>
  <si>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</si>
  <si>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</si>
  <si>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</si>
  <si>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</si>
  <si>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</si>
  <si>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</si>
  <si>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</si>
  <si>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</si>
  <si>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</si>
  <si>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</si>
  <si>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(Online)</t>
  </si>
  <si>
    <t>Retail (Special Lines)</t>
  </si>
  <si>
    <t>Rubber&amp; Tires</t>
  </si>
  <si>
    <t>Semiconductor</t>
  </si>
  <si>
    <t>Semiconductor Equip</t>
  </si>
  <si>
    <t>Shipbuilding &amp; Marine</t>
  </si>
  <si>
    <t>Shoe</t>
  </si>
  <si>
    <t>Software (Entertainment)</t>
  </si>
  <si>
    <t>Software (Internet)</t>
  </si>
  <si>
    <t>Software (System &amp; Application)</t>
  </si>
  <si>
    <t>Steel</t>
  </si>
  <si>
    <t>Telecom (Wireless)</t>
  </si>
  <si>
    <t>Telecom. Equipment</t>
  </si>
  <si>
    <t>Telecom. Services</t>
  </si>
  <si>
    <t>Tobacco</t>
  </si>
  <si>
    <t>Transportation</t>
  </si>
  <si>
    <t>Transportation (Railroads)</t>
  </si>
  <si>
    <t>Trucking</t>
  </si>
  <si>
    <t>Utility (General)</t>
  </si>
  <si>
    <t>Utility (Water)</t>
  </si>
  <si>
    <t>Total Market</t>
  </si>
  <si>
    <t>Total Market (without financials)</t>
  </si>
  <si>
    <t>Y</t>
  </si>
  <si>
    <t>N</t>
  </si>
  <si>
    <t>Dividend payout ratio</t>
  </si>
  <si>
    <t>CY</t>
  </si>
  <si>
    <t>Capital structure</t>
  </si>
  <si>
    <t>Summary</t>
  </si>
  <si>
    <t>Regulated</t>
  </si>
  <si>
    <t>Partially regulated</t>
  </si>
  <si>
    <t>Untergulated</t>
  </si>
  <si>
    <t>Commercial</t>
  </si>
  <si>
    <t>Dividend policy</t>
  </si>
  <si>
    <t>State dependent non-commercial</t>
  </si>
  <si>
    <t>State dependent commercial</t>
  </si>
  <si>
    <t>Commerical</t>
  </si>
  <si>
    <t>SOE DETAILS</t>
  </si>
  <si>
    <t>Unregulated</t>
  </si>
  <si>
    <t xml:space="preserve">NAVIGATION </t>
  </si>
  <si>
    <t>PANE</t>
  </si>
  <si>
    <t>Performance review</t>
  </si>
  <si>
    <t>Return target</t>
  </si>
  <si>
    <t>Future projections</t>
  </si>
  <si>
    <t>REVIEW</t>
  </si>
  <si>
    <t>Credit rating</t>
  </si>
  <si>
    <t>Industry average (Damodaran)</t>
  </si>
  <si>
    <t>Peer group</t>
  </si>
  <si>
    <t>Segment</t>
  </si>
  <si>
    <t>https://www.moodys.com/researchandratings/methodology/003006001/rating-methodologies/methodology/003006001/003006001/-/0/0/-/0/-/-/en/global/rr</t>
  </si>
  <si>
    <t>Source:</t>
  </si>
  <si>
    <t>Aswath Damodaran</t>
  </si>
  <si>
    <t>http://pages.stern.nyu.edu/~adamodar/</t>
  </si>
  <si>
    <t>#1</t>
  </si>
  <si>
    <t>#2</t>
  </si>
  <si>
    <t>#3</t>
  </si>
  <si>
    <t>#4</t>
  </si>
  <si>
    <t>#5</t>
  </si>
  <si>
    <t>#6</t>
  </si>
  <si>
    <t>#7</t>
  </si>
  <si>
    <t>#8</t>
  </si>
  <si>
    <t>#9</t>
  </si>
  <si>
    <t>#10</t>
  </si>
  <si>
    <t xml:space="preserve">Company </t>
  </si>
  <si>
    <t>Dividend payout ratio (CY)</t>
  </si>
  <si>
    <t>Example: "Par kapitāla atdeves likmi elektroenerģijas pārvades sistēmas un elektroenerģijas sadales sistēmas pakalpojumu tarifu projekta aprēķināšanai"</t>
  </si>
  <si>
    <t>Absolute deviation</t>
  </si>
  <si>
    <t>Relative deviation</t>
  </si>
  <si>
    <t>Deviaton acceptable</t>
  </si>
  <si>
    <t xml:space="preserve">Unusual deviation </t>
  </si>
  <si>
    <t>ROE (commercial)</t>
  </si>
  <si>
    <t>ROE (regulated)</t>
  </si>
  <si>
    <t>%, commercial</t>
  </si>
  <si>
    <t>%, regulated</t>
  </si>
  <si>
    <t>Absolute deviation (regulated)</t>
  </si>
  <si>
    <t>Relative deviation (commercial)</t>
  </si>
  <si>
    <t>Relative deviation (regulated)</t>
  </si>
  <si>
    <t>Absolute deviation (commercial)</t>
  </si>
  <si>
    <t>Financing options</t>
  </si>
  <si>
    <t xml:space="preserve">  &gt;&gt;&gt;</t>
  </si>
  <si>
    <t>PERFORMANCE</t>
  </si>
  <si>
    <t>OBSERVATIONS</t>
  </si>
  <si>
    <t>RECOMMENDATIONS</t>
  </si>
  <si>
    <t xml:space="preserve"> </t>
  </si>
  <si>
    <t>ñ</t>
  </si>
  <si>
    <t>Min:</t>
  </si>
  <si>
    <t>Max:</t>
  </si>
  <si>
    <t>Chart_Axis_Resizer</t>
  </si>
  <si>
    <t>Dividend payout ratio (CY-1)</t>
  </si>
  <si>
    <t>Industry average dividend payout ratio (Damodaran) CY</t>
  </si>
  <si>
    <t>Industry average dividend payout ratio (Damodaran) CY-2</t>
  </si>
  <si>
    <t>Industry average ROE (Damodaran) CY</t>
  </si>
  <si>
    <t xml:space="preserve">Industry average ROE (Damodaran) CY-1 </t>
  </si>
  <si>
    <t>Industry average ROE (Damodaran) CY-2</t>
  </si>
  <si>
    <t>CY+5</t>
  </si>
  <si>
    <t>CY+1</t>
  </si>
  <si>
    <t>CY+2</t>
  </si>
  <si>
    <t>CY+3</t>
  </si>
  <si>
    <t>CY+4</t>
  </si>
  <si>
    <t>Budget reviews</t>
  </si>
  <si>
    <t>ROE
(CY)</t>
  </si>
  <si>
    <t>ROE
(CY-1)</t>
  </si>
  <si>
    <t>ROE
(CY-2)</t>
  </si>
  <si>
    <t>Industry average dividend payout ratio (Damodaran) CY-1</t>
  </si>
  <si>
    <t>Dividend payout ratio (CY-2)</t>
  </si>
  <si>
    <t>D|E</t>
  </si>
  <si>
    <t>ROE (state financed)</t>
  </si>
  <si>
    <t>%, state financed</t>
  </si>
  <si>
    <t>State financed</t>
  </si>
  <si>
    <t>Sate financed</t>
  </si>
  <si>
    <t>Absolute deviation (state financed)</t>
  </si>
  <si>
    <t>Relative deviation (state financed)</t>
  </si>
  <si>
    <t xml:space="preserve">RCF / Debt </t>
  </si>
  <si>
    <t xml:space="preserve">RCF / Net debt </t>
  </si>
  <si>
    <t>(CFO pre-WC) / Debt</t>
  </si>
  <si>
    <t xml:space="preserve"> Debt / EBITDA</t>
  </si>
  <si>
    <t xml:space="preserve"> FFO / Debt </t>
  </si>
  <si>
    <t>AFFO / Debt</t>
  </si>
  <si>
    <t>Weighted 3Y benchmark value</t>
  </si>
  <si>
    <t>Quantitative measures</t>
  </si>
  <si>
    <t>Criteria / specific measures</t>
  </si>
  <si>
    <t>Level of fulfilment</t>
  </si>
  <si>
    <t>Comments</t>
  </si>
  <si>
    <t>Stable, predictable and high yielding dividend policy.</t>
  </si>
  <si>
    <t>Company’s indicative valuation over EUR 100 million.</t>
  </si>
  <si>
    <t>Positive growth prospects for the company and industry / sector in which it operates.</t>
  </si>
  <si>
    <t>Healthy market valuation levels, and not bear market.</t>
  </si>
  <si>
    <t>Minimal level of free float at 25%</t>
  </si>
  <si>
    <t>Good corporate governance standards implemented across the entire organization – in compliance with OECD and best practices.</t>
  </si>
  <si>
    <t>ESG considerations present in the company’s current as well as future operations.</t>
  </si>
  <si>
    <t>Clear reasoning behind IPO (“investment driven” or “ownership driven”).</t>
  </si>
  <si>
    <t>Seasoned executive board team and highly experienced and independent supervisory board with no scandals or controversies in the past.</t>
  </si>
  <si>
    <t>Meaningful sales exposure in foreign markets.</t>
  </si>
  <si>
    <t>Credit rating from top-tier agency on an issuer level.</t>
  </si>
  <si>
    <t>Transparent public reporting with additional (albeit not mandatory) levers of reporting.</t>
  </si>
  <si>
    <t>○</t>
  </si>
  <si>
    <t>Positive historical and future cash flows sufficient to cover the expenses and generate positive returns.</t>
  </si>
  <si>
    <t>◑</t>
  </si>
  <si>
    <t>●</t>
  </si>
  <si>
    <t>#11</t>
  </si>
  <si>
    <t>#12</t>
  </si>
  <si>
    <t>#13</t>
  </si>
  <si>
    <t>#14</t>
  </si>
  <si>
    <t>#15</t>
  </si>
  <si>
    <t>Qualitative measures</t>
  </si>
  <si>
    <t>Explanations</t>
  </si>
  <si>
    <t>Criteria ir fully met</t>
  </si>
  <si>
    <t>Criteria is partially met</t>
  </si>
  <si>
    <t>Criteria is not met</t>
  </si>
  <si>
    <t>[Please select]</t>
  </si>
  <si>
    <t>IPO Compliance Check</t>
  </si>
  <si>
    <t>The Company has had a positive cash flow in the last three financial years and has a trustworthy forecast for a positive cash flow in the upcoming financial years. Additionally, the ROE is expected to be in the same range as the SOE’s private sector competitors (or defined benchmark value).</t>
  </si>
  <si>
    <t>Having a dividend pay-out ratio of at least 50% over multiple year period without large changes or deviations in the pay-out ratio is assumed to signify a stable and predictable, high yielding dividend policy.</t>
  </si>
  <si>
    <t>Company’s indicative valuation is suggested to be calculated using valuation ratios like price to earnings (P/E), price to cash flow (P/CF) or price to book (P/B). These metrics are widely used to evaluate companies and, therefore, can be easily compared within a peer group, and in the same time provide an easy way to gauge the approximate valuation levels.</t>
  </si>
  <si>
    <t>Positive growth prospects if the management expectation for the sector’s compounded annual growth rate (CAGR) in the foreseeable future would be higher than the inflation rate.</t>
  </si>
  <si>
    <t xml:space="preserve">A company should not perform an IPO when the market is in a decline or can be described as a bear market. Market can be called a bear market if it experiences a long period of price declines, more precisely, when security prices have fallen more than 20% from their 52-week highs. In a depressed market, investors are likely to be overly risk averse when deciding on investment strategies. </t>
  </si>
  <si>
    <t>Financial risk is properly managed and not elevated.</t>
  </si>
  <si>
    <t xml:space="preserve">In order for a company to fulfil this criterion sales to foreign markets as a percentage of total sales should be at least 10%. </t>
  </si>
  <si>
    <t xml:space="preserve">For an SOE planned to become publicly traded, the free float should be too far below 25%. </t>
  </si>
  <si>
    <t>INDUSTRY</t>
  </si>
  <si>
    <t>PEER GROUP</t>
  </si>
  <si>
    <t>D|E
(CY)</t>
  </si>
  <si>
    <t>D|E
(CY-1)</t>
  </si>
  <si>
    <t>D|E
(CY-2)</t>
  </si>
  <si>
    <t>Median</t>
  </si>
  <si>
    <t xml:space="preserve"> https://latvenergo.lv/en/pazinojumi/zina/moodys-publishes-updated-credit-analysis-latvenergo-rating-remains-unchanged</t>
  </si>
  <si>
    <t>Discretionary target setting</t>
  </si>
  <si>
    <t>Suggested</t>
  </si>
  <si>
    <t>Discretionary</t>
  </si>
  <si>
    <t>Industry (CY)</t>
  </si>
  <si>
    <t>Industry (CY-1)</t>
  </si>
  <si>
    <t>Industry (CY-2)</t>
  </si>
  <si>
    <t>Industry weight</t>
  </si>
  <si>
    <t>Peer group weight</t>
  </si>
  <si>
    <t>Peer group (1 - 5 peers)</t>
  </si>
  <si>
    <t>Peer group (6 - 10 peers)</t>
  </si>
  <si>
    <t>Peer group (11 - 15 peers)</t>
  </si>
  <si>
    <t>OR</t>
  </si>
  <si>
    <t>AND</t>
  </si>
  <si>
    <t>Weighted industry average</t>
  </si>
  <si>
    <t>Average from last 3y peer group medians</t>
  </si>
  <si>
    <t>BENCHMARK</t>
  </si>
  <si>
    <t>Suggested structure of weighted 3Y benchmark:</t>
  </si>
  <si>
    <t>Return target - Commerical (unregulated) part</t>
  </si>
  <si>
    <t>Return target - Regulated part</t>
  </si>
  <si>
    <t>Return target - State financed part</t>
  </si>
  <si>
    <t>Higher priority</t>
  </si>
  <si>
    <t>Lower priority</t>
  </si>
  <si>
    <t>Not applicable</t>
  </si>
  <si>
    <t>Benchmarks</t>
  </si>
  <si>
    <t>Weights</t>
  </si>
  <si>
    <t>Weights selection:</t>
  </si>
  <si>
    <r>
      <t>Peer group size</t>
    </r>
    <r>
      <rPr>
        <sz val="11"/>
        <color theme="5"/>
        <rFont val="Arial"/>
        <family val="2"/>
      </rPr>
      <t>*</t>
    </r>
  </si>
  <si>
    <t>*</t>
  </si>
  <si>
    <t>Weights of the peer group are dependent on the size of the group (1-5, 6-10 and 11+)</t>
  </si>
  <si>
    <t>CY-1</t>
  </si>
  <si>
    <t>CY-2</t>
  </si>
  <si>
    <t>CY-3</t>
  </si>
  <si>
    <t>Acceptable deviation lower bracket according to CSCC guidelines</t>
  </si>
  <si>
    <t>Acceptable deviation upper bracket according to CSCC guidelines</t>
  </si>
  <si>
    <t>http://www.valstskapitals.gov.lv/images/userfiles/vid_term_darb_strat_vadlinijas_28082018.pdf</t>
  </si>
  <si>
    <t>Net turnover (commercial)</t>
  </si>
  <si>
    <t>Net turnover (regulated)</t>
  </si>
  <si>
    <t>Net turnover (state financed)</t>
  </si>
  <si>
    <t xml:space="preserve"> Linear/stepped approach - ROE (regulated)</t>
  </si>
  <si>
    <t xml:space="preserve"> Linear/stepped approach - ROE (commercial)</t>
  </si>
  <si>
    <t>Discretionary target setting - ROE (commercial)</t>
  </si>
  <si>
    <t>Discretionary target setting - ROE (regulated)</t>
  </si>
  <si>
    <t xml:space="preserve"> Linear/stepped approach - ROE (state financed)</t>
  </si>
  <si>
    <t>Discretionary target setting - ROE (state financed)</t>
  </si>
  <si>
    <t>Linear/stepped approach - Dividend payout ratio</t>
  </si>
  <si>
    <t>ROE</t>
  </si>
  <si>
    <t xml:space="preserve">Dividend payout ratio </t>
  </si>
  <si>
    <t>Industry average D|E ratio (Damodaran) CY</t>
  </si>
  <si>
    <t>Industry average D|E ratio (Damodaran) CY-1</t>
  </si>
  <si>
    <t>Industry average D|E ratio (Damodaran) CY-2</t>
  </si>
  <si>
    <t>Linear/stepped approach - D|E</t>
  </si>
  <si>
    <t>State dependent</t>
  </si>
  <si>
    <t>CY (performance review year)</t>
  </si>
  <si>
    <t>Benchmark period</t>
  </si>
  <si>
    <t>State dependent non-commerical</t>
  </si>
  <si>
    <t>State dependent commerical</t>
  </si>
  <si>
    <t>SOE</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</si>
  <si>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</si>
  <si>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</si>
  <si>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</si>
  <si>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</si>
  <si>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</si>
  <si>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</si>
  <si>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</si>
  <si>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</si>
  <si>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</si>
  <si>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</si>
  <si>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</si>
  <si>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</si>
  <si>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</si>
  <si>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</si>
  <si>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</si>
  <si>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</si>
  <si>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</si>
  <si>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</si>
  <si>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</si>
  <si>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</si>
  <si>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</si>
  <si>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</si>
  <si>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</si>
  <si>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</si>
  <si>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</si>
  <si>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</si>
  <si>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</si>
  <si>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</si>
  <si>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</si>
  <si>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</si>
  <si>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</si>
  <si>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</si>
  <si>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</si>
  <si>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</si>
  <si>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</si>
  <si>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</si>
  <si>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</si>
  <si>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</si>
  <si>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</si>
  <si>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</si>
  <si>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</si>
  <si>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</si>
  <si>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</si>
  <si>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</si>
  <si>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</si>
  <si>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</si>
  <si>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</si>
  <si>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</si>
  <si>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</si>
  <si>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</si>
  <si>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</si>
  <si>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</si>
  <si>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</si>
  <si>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</si>
  <si>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</si>
  <si>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</si>
  <si>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</si>
  <si>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</si>
  <si>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</si>
  <si>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</si>
  <si>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</si>
  <si>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</si>
  <si>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</si>
  <si>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</si>
  <si>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Dividend Policy</t>
  </si>
  <si>
    <t>Dividend payout</t>
  </si>
  <si>
    <t>IPO viability check – pie qualitative (skaidrojumi, kā vērtē no Roberta dokumenta), pie quantitative (atsevišķā boxā – polārie jautājumi, nevar kvantificēt, tas ir Supervisory Board jautājums, pamatojoties ar skaidriem argumentiem)</t>
  </si>
  <si>
    <r>
      <t xml:space="preserve">According to CSCC guidelines </t>
    </r>
    <r>
      <rPr>
        <b/>
        <sz val="11"/>
        <color theme="5"/>
        <rFont val="Arial"/>
        <family val="2"/>
      </rPr>
      <t>15%</t>
    </r>
    <r>
      <rPr>
        <sz val="11"/>
        <color theme="5"/>
        <rFont val="Arial"/>
        <family val="2"/>
      </rPr>
      <t xml:space="preserve"> deviation from the target is acceptable. In order to avoid insignificant deviations due to small raito, adjusted deviaton applied:
1) Benchmark </t>
    </r>
    <r>
      <rPr>
        <b/>
        <sz val="11"/>
        <color theme="5"/>
        <rFont val="Arial"/>
        <family val="2"/>
      </rPr>
      <t>&lt; 6.5% or 0.065</t>
    </r>
    <r>
      <rPr>
        <sz val="11"/>
        <color theme="5"/>
        <rFont val="Arial"/>
        <family val="2"/>
      </rPr>
      <t xml:space="preserve">, applicable deviation </t>
    </r>
    <r>
      <rPr>
        <b/>
        <sz val="11"/>
        <color theme="5"/>
        <rFont val="Arial"/>
        <family val="2"/>
      </rPr>
      <t>25%</t>
    </r>
    <r>
      <rPr>
        <sz val="11"/>
        <color theme="5"/>
        <rFont val="Arial"/>
        <family val="2"/>
      </rPr>
      <t xml:space="preserve">
2) Benchmark</t>
    </r>
    <r>
      <rPr>
        <b/>
        <sz val="11"/>
        <color theme="5"/>
        <rFont val="Arial"/>
        <family val="2"/>
      </rPr>
      <t xml:space="preserve"> &gt;= 6.5% or 0.065</t>
    </r>
    <r>
      <rPr>
        <sz val="11"/>
        <color theme="5"/>
        <rFont val="Arial"/>
        <family val="2"/>
      </rPr>
      <t xml:space="preserve">, applicable deviation </t>
    </r>
    <r>
      <rPr>
        <b/>
        <sz val="11"/>
        <color theme="5"/>
        <rFont val="Arial"/>
        <family val="2"/>
      </rPr>
      <t>15%</t>
    </r>
  </si>
  <si>
    <r>
      <t xml:space="preserve">According to CSCC guidelines </t>
    </r>
    <r>
      <rPr>
        <b/>
        <sz val="11"/>
        <color theme="5"/>
        <rFont val="Arial"/>
        <family val="2"/>
      </rPr>
      <t xml:space="preserve">15% </t>
    </r>
    <r>
      <rPr>
        <sz val="11"/>
        <color theme="5"/>
        <rFont val="Arial"/>
        <family val="2"/>
      </rPr>
      <t xml:space="preserve">deviation from the target is acceptable. In order to avoid insignificant deviations due to small raito, adjusted deviaton applied:
1) Benchmark </t>
    </r>
    <r>
      <rPr>
        <b/>
        <sz val="11"/>
        <color theme="5"/>
        <rFont val="Arial"/>
        <family val="2"/>
      </rPr>
      <t>&lt; 6.5% or 0.065</t>
    </r>
    <r>
      <rPr>
        <sz val="11"/>
        <color theme="5"/>
        <rFont val="Arial"/>
        <family val="2"/>
      </rPr>
      <t xml:space="preserve">, applicable deviation </t>
    </r>
    <r>
      <rPr>
        <b/>
        <sz val="11"/>
        <color theme="5"/>
        <rFont val="Arial"/>
        <family val="2"/>
      </rPr>
      <t>25%</t>
    </r>
    <r>
      <rPr>
        <sz val="11"/>
        <color theme="5"/>
        <rFont val="Arial"/>
        <family val="2"/>
      </rPr>
      <t xml:space="preserve">
2) Benchmark </t>
    </r>
    <r>
      <rPr>
        <b/>
        <sz val="11"/>
        <color theme="5"/>
        <rFont val="Arial"/>
        <family val="2"/>
      </rPr>
      <t>&gt;=6.5% or 0.065</t>
    </r>
    <r>
      <rPr>
        <sz val="11"/>
        <color theme="5"/>
        <rFont val="Arial"/>
        <family val="2"/>
      </rPr>
      <t xml:space="preserve">, applicable deviation </t>
    </r>
    <r>
      <rPr>
        <b/>
        <sz val="11"/>
        <color theme="5"/>
        <rFont val="Arial"/>
        <family val="2"/>
      </rPr>
      <t>15%</t>
    </r>
  </si>
  <si>
    <t>OBSERVATIONS (Financial options)</t>
  </si>
  <si>
    <t>RECOMMENDATIONS (Financial options)</t>
  </si>
  <si>
    <t>OBSERVATIONS (General - Qualitative)</t>
  </si>
  <si>
    <t>RECOMMENDATIONS (General - Qualitative)</t>
  </si>
  <si>
    <t>According to CSCC guidelines 15% deviation from the target is acceptable. In order to avoid insignificant deviations due to small raito, adjusted deviaton applied:
1) Benchmark &lt; 0.065, applicable deviation 25% 
2) Benchmark &gt;=0.065, applicable deviation 15%</t>
  </si>
  <si>
    <t>Benchmark value (regulated)</t>
  </si>
  <si>
    <t>Benchmark value (state financed)</t>
  </si>
  <si>
    <t>Benchmark value CY+5</t>
  </si>
  <si>
    <t>Benchmark value (commercial) CY+5</t>
  </si>
  <si>
    <t>Benchmark value (regulated) CY+5</t>
  </si>
  <si>
    <t>Benchmark value (state financed) CY+5</t>
  </si>
  <si>
    <t>Benchmark value</t>
  </si>
  <si>
    <t>Benchmark value (commercial)</t>
  </si>
  <si>
    <t>NAVIGĀCIJAS</t>
  </si>
  <si>
    <t>PANELIS</t>
  </si>
  <si>
    <t>VKS PAMATA DATI</t>
  </si>
  <si>
    <t>IPO GATAVĪBAS</t>
  </si>
  <si>
    <t>PĀRBAUDE</t>
  </si>
  <si>
    <t>SALĪDZINĀMIE UZŅĒMUMI</t>
  </si>
  <si>
    <t>(AIZPILDA APRĒĶINU VEICĒJS)</t>
  </si>
  <si>
    <t>IEVADS</t>
  </si>
  <si>
    <t>Mērķis</t>
  </si>
  <si>
    <t>Pamatojums</t>
  </si>
  <si>
    <t>Saistība ar akcionāru gaidām</t>
  </si>
  <si>
    <t>Pieņemamās novirzes</t>
  </si>
  <si>
    <t>Kredītreitings</t>
  </si>
  <si>
    <t>Saskaņā ar Valsts kapitālsabiedrību vidēja termiņa darbības stratēģijas izstrādes vadlīnijām ir pieļaujamas nelielas novirzes no mērķa vērtības (+/- 15% ir nebūtiska novirze, pie mazām vērtībām var ņemt vērā absolūtās novirzes).</t>
  </si>
  <si>
    <t>Ievērojiet vai paskaidrojiet!</t>
  </si>
  <si>
    <t>Šādi iekrāsotās šūnas aizpildās automātiski:</t>
  </si>
  <si>
    <t>VKS nosaukums</t>
  </si>
  <si>
    <t>Nozare</t>
  </si>
  <si>
    <t>Vai VKS ir iekļauta vispārējās valdības sektorā?</t>
  </si>
  <si>
    <t>Vai VKS ir emitējusi obligācijas?</t>
  </si>
  <si>
    <t>Kredītreitings (ja attiecināms)</t>
  </si>
  <si>
    <t>Tirgus tips (regulēts, daļēji, neregulēts)</t>
  </si>
  <si>
    <t>Piemērojamā kredītreitinga metodoloģija (ja attiecināms)</t>
  </si>
  <si>
    <t xml:space="preserve">Piemēram (angliski): Unregulated Utilities and Unregulated Power Companies </t>
  </si>
  <si>
    <t>Kapitāla struktūra</t>
  </si>
  <si>
    <t>Dividenžu politika</t>
  </si>
  <si>
    <t>VKS DETALIZĒTA INFORMĀCIJA</t>
  </si>
  <si>
    <t>VKS FINANŠU RĀDĪTĀJI</t>
  </si>
  <si>
    <t>[Lūdzu izvēlieties]</t>
  </si>
  <si>
    <t>Segments</t>
  </si>
  <si>
    <t>Piemērojamā etalona bāze</t>
  </si>
  <si>
    <t>NOZARE</t>
  </si>
  <si>
    <t>Nozares vidējais ROE (Damodaran) CY</t>
  </si>
  <si>
    <t>Nozares vidējais ROE (Damodaran) CY-2</t>
  </si>
  <si>
    <t>Nozares vidējais dividenžu izmaksas rādītājs (Damodaran) CY</t>
  </si>
  <si>
    <t>Nozares vidējais dividenžu izmaksas rādītājs (Damodaran) CY-1</t>
  </si>
  <si>
    <t>Nozares vidējais dividenžu izmaksas rādītājs (Damodaran) CY-2</t>
  </si>
  <si>
    <t>Papildinformācijai un avotiem, lūdzu, skatiet:</t>
  </si>
  <si>
    <t>Neto apgrozījums</t>
  </si>
  <si>
    <t xml:space="preserve">Budžeta finansējums, dotācijas vai subsīdijas / </t>
  </si>
  <si>
    <t>Neto apgrozījums [pēdējo 3 gadu vidējais, %]</t>
  </si>
  <si>
    <t>nodrošinot savus nekomerciālos stratēģiskos mērķus?</t>
  </si>
  <si>
    <t>Jā/Nē</t>
  </si>
  <si>
    <t>Budžeta finansējums, dotācijas vai subsīdijas</t>
  </si>
  <si>
    <t>Samaksātās dividendes</t>
  </si>
  <si>
    <t>Dividenžu izmaksas koeficients</t>
  </si>
  <si>
    <t>Uzņēmums</t>
  </si>
  <si>
    <t>Dividenžu izmaksas koeficients
(CY)</t>
  </si>
  <si>
    <t>Dividenžu izmaksas koeficients
(CY-1)</t>
  </si>
  <si>
    <t>Dividenžu izmaksas koeficients
(CY-2)</t>
  </si>
  <si>
    <t>CY (Pašreizējais gads)</t>
  </si>
  <si>
    <t>Segmentētās darbības
(ja attiecināms)</t>
  </si>
  <si>
    <t>Lai gan tas nav obligāti, tomēr ieteicams, lai valsts atkarīgās nekomerciālās valsts kapitālsabiedrības ņemtu vērā kapitāla struktūras, peļņas un dividenžu politikas (ja piemērojams) mērķu noteikšanu, pamatojoties uz valsts atkarīgās komerciālās valsts kapitālsabiedrības metodoloģiju.</t>
  </si>
  <si>
    <t>SALĪDZINĀMO UZŅĒMUMU GRUPA</t>
  </si>
  <si>
    <t>VKS segmentēšanas soļi</t>
  </si>
  <si>
    <t>Nākotnes prognozes</t>
  </si>
  <si>
    <t>Etaloni</t>
  </si>
  <si>
    <t>Kredītreitinga pieeja (soli pa solim), Latvenergo piemērs:</t>
  </si>
  <si>
    <t>Avots:</t>
  </si>
  <si>
    <t>Ilgtermiņa parādi (ieskaitot saistības par kapitāla nomu) plus īstermiņa parādi plus ilgtermiņa parādu pašreizējā daļa. Var arī pielāgot, iekļaujot citas ilgtermiņa saistības, piemēram, nomu un pensijas.</t>
  </si>
  <si>
    <t>Parāds, atskaitot naudu un naudas ekvivalentu pašreizējos aktīvus bilancē.</t>
  </si>
  <si>
    <t>Naudas plūsma no pamatdarbības, neiekļaujot apgrozāmā kapitāla izmaiņas.</t>
  </si>
  <si>
    <t>Tīrā peļņa plus procenti plus nodokļi</t>
  </si>
  <si>
    <t>Ienākumi no pamatdarbības: Naudas plūsma no pamatdarbības pirms apgrozāmā kapitāla izmaiņām un izmaiņām citos īstermiņa un ilgtermiņa apgrozāmos aktīvos un saistībās.</t>
  </si>
  <si>
    <t>ETALONS</t>
  </si>
  <si>
    <t>Pielietotais sviras faktors:</t>
  </si>
  <si>
    <t>Mērķa kredītreitings</t>
  </si>
  <si>
    <t>Tīrā peļņas marža</t>
  </si>
  <si>
    <t>Ienesīguma mērķis</t>
  </si>
  <si>
    <t>KREDĪTREITINGA METODOLOĢIJAS ETALONS (JA ATTIECINĀMS)</t>
  </si>
  <si>
    <t>SEGMENTĒTĀS DARBĪBAS ETALONI (JA ATTIECINĀMS)</t>
  </si>
  <si>
    <t>Etalona vērtība (regulētā daļa)</t>
  </si>
  <si>
    <t>Etalona vērtība (valsts finansētā daļa)</t>
  </si>
  <si>
    <t>Ieteicamā svērtā 3 gadu etalona struktūra:</t>
  </si>
  <si>
    <t>Svaru izvēle:</t>
  </si>
  <si>
    <t>Pēc izvēles</t>
  </si>
  <si>
    <t>Ieteikts</t>
  </si>
  <si>
    <r>
      <t>Salīdzināmo uzņēmumu grupas lielums</t>
    </r>
    <r>
      <rPr>
        <sz val="11"/>
        <color theme="5"/>
        <rFont val="Arial"/>
        <family val="2"/>
      </rPr>
      <t>*</t>
    </r>
  </si>
  <si>
    <t>Nozares īpatsvars</t>
  </si>
  <si>
    <t>Salīdzināmo uzņēmumu grupas īpatsvars</t>
  </si>
  <si>
    <t>Īpatsvars</t>
  </si>
  <si>
    <t>Salīdzināmo uzņēmumu grupa (1 - 5 uzņēmumi)</t>
  </si>
  <si>
    <t>Nozare (CY)</t>
  </si>
  <si>
    <t>Nozare (CY-2)</t>
  </si>
  <si>
    <t>Nozare (CY-1)</t>
  </si>
  <si>
    <t>VAI</t>
  </si>
  <si>
    <t>UN</t>
  </si>
  <si>
    <t>Salīdzināmo uzņēmumu grupa (6 - 10 uzņēmumi)</t>
  </si>
  <si>
    <t>Salīdzināmo uzņēmumu grupa (11 - 15 uzņēmumi)</t>
  </si>
  <si>
    <t>Salīdzināmo uzņēmumu grupas īpatsvari ir atkarīgi no grupas lieluma (1-5, 6-10 un 11+)</t>
  </si>
  <si>
    <t>Ienesīguma mērķis - Komerciālā (neregulētā) daļa</t>
  </si>
  <si>
    <t xml:space="preserve">Nozares vidējais ROE (Damodaran) CY-1 </t>
  </si>
  <si>
    <t>Mediāna</t>
  </si>
  <si>
    <t>Nozares vidējais svērtais</t>
  </si>
  <si>
    <t>3 gadu etalona svērtā vērtība</t>
  </si>
  <si>
    <t>Ienesīguma mērķis - regulētā daļa</t>
  </si>
  <si>
    <t>Ienesīguma mērķis - Valsts finansētā daļa</t>
  </si>
  <si>
    <t>Piemērs: "Par kapitāla atdeves likmi elektroenerģijas pārvades sistēmas un elektroenerģijas sadales sistēmas pakalpojumu tarifu projekta aprēķināšanai"</t>
  </si>
  <si>
    <t>3 gadu svērtā etalona ieteicamā struktūra:</t>
  </si>
  <si>
    <t>Īpatsvari</t>
  </si>
  <si>
    <t>Salīdzināmo uzņēmumu grupas īpatsvari ir atkarīgi no grupas lieluma (1-5, 6-10 and 11+)</t>
  </si>
  <si>
    <t>Nozares vidējais dividenžu izmaksas koeficients (Damodaran) CY</t>
  </si>
  <si>
    <t>Nozares vidējais dividenžu izmaksas koeficients (Damodaran) CY-1</t>
  </si>
  <si>
    <t>Nozares vidējais dividenžu izmaksas koeficients (Damodaran) CY-2</t>
  </si>
  <si>
    <t>Dividenžu izmakas koeficients (CY)</t>
  </si>
  <si>
    <t>Dividenžu izmakas koeficients (CY-1)</t>
  </si>
  <si>
    <t>Dividenžu izmakas koeficients (CY-2)</t>
  </si>
  <si>
    <t>Salīdzināmo uzņēmumu grupas pēdējo 3 gadu vidējā mediāna</t>
  </si>
  <si>
    <t>3 gadu svērtā etalona vērtība</t>
  </si>
  <si>
    <t>RCF</t>
  </si>
  <si>
    <t>Debt</t>
  </si>
  <si>
    <t>Net debt</t>
  </si>
  <si>
    <t>(CFO pre-WC)</t>
  </si>
  <si>
    <t>EBIT</t>
  </si>
  <si>
    <t>EBITDA</t>
  </si>
  <si>
    <t>FFO</t>
  </si>
  <si>
    <t>AFFO</t>
  </si>
  <si>
    <t>EBIT plus nolietojums plus nemateriālo aktīvu amortizācija.</t>
  </si>
  <si>
    <t>Koriģētie naudas plūsmas līdzekļi no pamatdarbības: AFFO = FFO + nomas pieaugums - kapitāla izdevumi - rutīnas apkopju izmaksas.</t>
  </si>
  <si>
    <r>
      <t xml:space="preserve">Reitinga metodoloģijas (bezmaksas avots, </t>
    </r>
    <r>
      <rPr>
        <sz val="11"/>
        <color rgb="FFC00000"/>
        <rFont val="Arial"/>
        <family val="2"/>
      </rPr>
      <t>nepieciešama reģistrācija</t>
    </r>
    <r>
      <rPr>
        <sz val="11"/>
        <color theme="1"/>
        <rFont val="Arial"/>
        <family val="2"/>
      </rPr>
      <t>)</t>
    </r>
  </si>
  <si>
    <t>Salīdzināmo uzņēmumu grupas pedējo 3 gadu vidējā mediāna</t>
  </si>
  <si>
    <t>Nozares vidējais saistību (D|E) rādītājs (Damodaran) CY-1</t>
  </si>
  <si>
    <t>Nozares vidējais saistību (D|E) rādītājs (Damodaran) CY-2</t>
  </si>
  <si>
    <t>Nozares vidējais pašu kapitāla atdeves rādītājs, ROE (Damodaran) CY</t>
  </si>
  <si>
    <t xml:space="preserve">Nozares vidējais pašu kapitāla atdeves rādītājs, ROE(Damodaran) CY-1 </t>
  </si>
  <si>
    <t>Nozares vidējais pašu kapitāla atdeves rādītājs, ROE (Damodaran) CY-2</t>
  </si>
  <si>
    <t>Saistību rādītājs (D|E)</t>
  </si>
  <si>
    <t>Pašu kapitāla atdeve (ROE)</t>
  </si>
  <si>
    <t>Piezīme: CY - aktuālais gads, CY-1 - vienu gadu atpakaļ, CY-2 - divus gadus atpakaļ</t>
  </si>
  <si>
    <t>Komerciālas/ atkarīgas komerciālas VKS</t>
  </si>
  <si>
    <t>VKS FINANŠU MĒRĶU NOTEIKŠANAS METODOLOĢIJA</t>
  </si>
  <si>
    <t>Kalpot par instrumentu valsts kapitālsabiedrībām, Valsts kancelejas PKD un citām ieinteresētajām pusēm finanšu mērķu noteikšanā, pārskatīšanā un pamatošanā.</t>
  </si>
  <si>
    <t>Valsts kapitālsabiedrībām jādarbojas vienlīdzīgos konkurences apstākļos attiecībā pret privātajiem uzņēmumiem. Svarīgs vienlīdzīgu konkurences apstākļu pamatelements ir tādu pašu finanšu mērķu noteikšana valsts uzņēmumiem kā salīdzināmiem privātiem uzņēmumiem. Sekojoši, valsts kapitālsabiedrību finansēšanas metodoloģija un ar to saistīto finanšu mērķu noteikšana ir balstīta uz salīdzinošo novērtēšanu ar tuvākajiem līdzīgiem uzņēmumiem un uz OECD labāko praksi attiecībā uz kapitāla struktūras, peļņas maržas un dividenžu izmaksas mērķu noteikšanu.</t>
  </si>
  <si>
    <t>Ja tiek prognozēts, ka īpašnieka gaidu vēstulē noteiktie mērķi konkrētajā periodā nebūs sasniedzami, kapitālsabiedrībai ir jāpamato (un jāveic konkrēti aprēķini), kāpēc atsevišķi finanšu mērķi netiks sasniegti līdz noteiktajam etalona līmenim.</t>
  </si>
  <si>
    <t>Kredītreitinga pieeja, tiecoties uz investīciju līmeņa kredītreitingu, ir ieteicama komerciālām valsts kapitālsabiedrībām. Biežākie šāda lēmuma virzošie faktori ir šādi: vēlme nodrošināt finanšu pārskatu caurspīdīgumu un vispārējo korporatīvās pārvaldības līmeni atbilstoši augstākajiem standartiem, vēlme sagatavot organizāciju lielākai obligāciju emisijai, vēlme sagatavot organizāciju veiksmīgam IPO procesam. Ja neviens no šiem aspektiem nav būtisks, ieteicams izmantot kredītreitingu pieeju, ievērojot publiski pieejamās reitingu metodoloģijas vadlīnijas.</t>
  </si>
  <si>
    <t>VKS vadība (padome un valde) drīkst neievērot ieteiktās pieejas (piemēram, kredītreitinga pieejas izvēle, konkrētu finanšu rādītāju izvēle un salīdzinošo uzņēmumu rādītāju novērtēšanas process), tomēr šādā scenārijā ir jāpamato un jāpaskaidro, kāpēc plānota atkāpšanās no piedāvātās pieejas (ja iespējams, kvantitatīvi parādīt).</t>
  </si>
  <si>
    <t>PROCESS</t>
  </si>
  <si>
    <t>FINANŠU MĒRĶU NOTEIKŠANA</t>
  </si>
  <si>
    <t>Aizpildāmās šūnas:</t>
  </si>
  <si>
    <t>Nozares vidējais saistītu (D|E) rādītājs (Damodaran[1]) CY</t>
  </si>
  <si>
    <t xml:space="preserve">[1] https://pages.stern.nyu.edu/~adamodar/ </t>
  </si>
  <si>
    <t>#'FINANŠU MĒRĶU NOTEIKŠANA'!A1</t>
  </si>
  <si>
    <t>Neto peļņa</t>
  </si>
  <si>
    <t xml:space="preserve">Vai VKS ir "bezpeļņas organizācija", galvenokārt </t>
  </si>
  <si>
    <t>Neto apgrozījums (komercdarbība)</t>
  </si>
  <si>
    <t>Neto apgrozījums (regulētais segments)</t>
  </si>
  <si>
    <t>Neto apgrozījums (valsts finansētais)</t>
  </si>
  <si>
    <t>ROE (komercdarbība)</t>
  </si>
  <si>
    <t>ROE (regulētais segments)</t>
  </si>
  <si>
    <t>ROE (valsts finansētais)</t>
  </si>
  <si>
    <t>Segmenti jāpiešķir atbilstoši dažādām un izsekojāmām uzņēmuma darbībām, pareizi atspoguļojot atbilstošās summas.</t>
  </si>
  <si>
    <t>Ja komerciālai valsts kapitālsabiedrībai ir būtisks IPO potenciāls, tam atbilstoša būs mērķu noteikšanas metodoloģija, kas balstīta uz kredītreitinga pieeju, citi uzņēmumi var piemērot valsts atkarīgas komerciālas kapitālsabiedrības metodoloģiju.</t>
  </si>
  <si>
    <t>Uzņēmumam jāizvēlas sviras attiecība un kritēriji (vērtību diapazons), kas pieejami konkrētajā kredītreitinga metodoloģijā, pret kuriem salīdzināt uzņēmuma sniegumu. Lūdzu, skatīt pieejamos rādītājus metodoloģijā:</t>
  </si>
  <si>
    <t>Paturētā naudas plūsma: līdzekļi no darbības, atskaitot parastās dividendes, prioritārās dividendes un mazākuma dividendes.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</si>
</sst>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0_-;\-&quot;€&quot;* #,##0_-;_-&quot;€&quot;* &quot;-&quot;_-;_-@_-"/>
    <numFmt numFmtId="165" formatCode="0.0%"/>
    <numFmt numFmtId="166" formatCode="0.0000"/>
    <numFmt numFmtId="167" formatCode="0.0000%"/>
    <numFmt numFmtId="168" formatCode="_-* #,##0_-;\-* #,##0_-;_-* &quot;-&quot;??_-;_-@_-"/>
  </numFmts>
  <fonts count="65" x14ac:knownFonts="1">
    <font>
      <sz val="11"/>
      <color theme="1"/>
      <name val="Calibri"/>
      <family val="2"/>
      <scheme val="minor"/>
    </font>
    <font>
      <u/>
      <sz val="11"/>
      <color theme="10"/>
      <name val="Calibri"/>
      <family val="2"/>
      <scheme val="minor"/>
    </font>
    <font>
      <sz val="8"/>
      <name val="Calibri"/>
      <family val="2"/>
      <scheme val="minor"/>
    </font>
    <font>
      <sz val="11"/>
      <color theme="1"/>
      <name val="Arial"/>
      <family val="2"/>
    </font>
    <font>
      <b/>
      <u/>
      <sz val="11"/>
      <color theme="1"/>
      <name val="Arial"/>
      <family val="2"/>
    </font>
    <font>
      <sz val="11"/>
      <color theme="0"/>
      <name val="Arial"/>
      <family val="2"/>
    </font>
    <font>
      <sz val="11"/>
      <color rgb="FFC00000"/>
      <name val="Arial"/>
      <family val="2"/>
    </font>
    <font>
      <i/>
      <sz val="11"/>
      <color theme="1"/>
      <name val="Arial"/>
      <family val="2"/>
    </font>
    <font>
      <sz val="16"/>
      <color theme="1"/>
      <name val="Arial"/>
      <family val="2"/>
    </font>
    <font>
      <sz val="9"/>
      <color theme="0"/>
      <name val="Arial"/>
      <family val="2"/>
    </font>
    <font>
      <u/>
      <sz val="9"/>
      <color theme="0" tint="-4.9989318521683403E-2"/>
      <name val="Arial"/>
      <family val="2"/>
    </font>
    <font>
      <sz val="11"/>
      <color theme="1"/>
      <name val="Calibri"/>
      <family val="2"/>
      <scheme val="minor"/>
    </font>
    <font>
      <b/>
      <sz val="9"/>
      <color theme="0"/>
      <name val="Arial"/>
      <family val="2"/>
    </font>
    <font>
      <u/>
      <sz val="9"/>
      <name val="Arial"/>
      <family val="2"/>
    </font>
    <font>
      <b/>
      <sz val="10"/>
      <name val="Arial"/>
      <family val="2"/>
    </font>
    <font>
      <b/>
      <sz val="11"/>
      <color theme="1"/>
      <name val="Arial"/>
      <family val="2"/>
    </font>
    <font>
      <i/>
      <sz val="11"/>
      <color rgb="FF00B0F0"/>
      <name val="Arial"/>
      <family val="2"/>
    </font>
    <font>
      <b/>
      <sz val="11"/>
      <color theme="0"/>
      <name val="Arial"/>
      <family val="2"/>
    </font>
    <font>
      <i/>
      <sz val="11"/>
      <color theme="4" tint="0.59999389629810485"/>
      <name val="Arial"/>
      <family val="2"/>
    </font>
    <font>
      <sz val="11"/>
      <color theme="7"/>
      <name val="Arial"/>
      <family val="2"/>
    </font>
    <font>
      <sz val="11"/>
      <color theme="5"/>
      <name val="Arial"/>
      <family val="2"/>
    </font>
    <font>
      <sz val="11"/>
      <color theme="0" tint="-4.9989318521683403E-2"/>
      <name val="Arial"/>
      <family val="2"/>
    </font>
    <font>
      <b/>
      <sz val="20"/>
      <color rgb="FFC00000"/>
      <name val="Arial"/>
      <family val="2"/>
    </font>
    <font>
      <sz val="10"/>
      <color theme="1"/>
      <name val="Symbol"/>
      <family val="1"/>
      <charset val="2"/>
    </font>
    <font>
      <sz val="11"/>
      <color theme="2"/>
      <name val="Arial"/>
      <family val="2"/>
    </font>
    <font>
      <sz val="11"/>
      <color theme="8"/>
      <name val="Arial"/>
      <family val="2"/>
    </font>
    <font>
      <b/>
      <sz val="14"/>
      <color theme="0"/>
      <name val="Arial"/>
      <family val="2"/>
    </font>
    <font>
      <sz val="11"/>
      <name val="Arial"/>
      <family val="2"/>
    </font>
    <font>
      <sz val="48"/>
      <color theme="1" tint="0.14999847407452621"/>
      <name val="Segoe UI Symbol"/>
      <family val="2"/>
    </font>
    <font>
      <sz val="72"/>
      <color theme="2" tint="-0.749992370372631"/>
      <name val="Segoe UI Symbol"/>
      <family val="2"/>
    </font>
    <font>
      <sz val="55"/>
      <color theme="1"/>
      <name val="Arial"/>
      <family val="2"/>
    </font>
    <font>
      <sz val="55"/>
      <color theme="5"/>
      <name val="Segoe UI Symbol"/>
      <family val="2"/>
    </font>
    <font>
      <sz val="55"/>
      <color theme="5" tint="0.39997558519241921"/>
      <name val="Segoe UI Symbol"/>
      <family val="2"/>
    </font>
    <font>
      <b/>
      <sz val="11"/>
      <name val="Arial"/>
      <family val="2"/>
    </font>
    <font>
      <u/>
      <sz val="11"/>
      <name val="Arial"/>
      <family val="2"/>
    </font>
    <font>
      <sz val="11"/>
      <color theme="5"/>
      <name val="Segoe UI Symbol"/>
      <family val="2"/>
    </font>
    <font>
      <sz val="10"/>
      <color theme="5"/>
      <name val="Arial"/>
      <family val="2"/>
    </font>
    <font>
      <sz val="55"/>
      <color theme="5"/>
      <name val="Arial"/>
      <family val="2"/>
    </font>
    <font>
      <sz val="55"/>
      <color theme="5" tint="0.39997558519241921"/>
      <name val="Arial"/>
      <family val="2"/>
    </font>
    <font>
      <u/>
      <sz val="11"/>
      <color theme="0"/>
      <name val="Arial"/>
      <family val="2"/>
    </font>
    <font>
      <i/>
      <sz val="11"/>
      <color theme="5"/>
      <name val="Arial"/>
      <family val="2"/>
    </font>
    <font>
      <u/>
      <sz val="11"/>
      <color theme="10"/>
      <name val="Arial"/>
      <family val="2"/>
    </font>
    <font>
      <b/>
      <sz val="11"/>
      <color theme="5"/>
      <name val="Arial"/>
      <family val="2"/>
    </font>
    <font>
      <sz val="9"/>
      <name val="Arial"/>
      <family val="2"/>
    </font>
    <font>
      <sz val="9"/>
      <color theme="5"/>
      <name val="Arial"/>
      <family val="2"/>
    </font>
    <font>
      <b/>
      <sz val="11"/>
      <color theme="7"/>
      <name val="Arial"/>
      <family val="2"/>
    </font>
    <font>
      <b/>
      <sz val="16"/>
      <color theme="0"/>
      <name val="Arial"/>
      <family val="2"/>
    </font>
    <font>
      <b/>
      <sz val="18"/>
      <color theme="0"/>
      <name val="Arial"/>
      <family val="2"/>
    </font>
    <font>
      <sz val="16"/>
      <color theme="0"/>
      <name val="Arial"/>
      <family val="2"/>
    </font>
    <font>
      <sz val="20"/>
      <color theme="0"/>
      <name val="Arial"/>
      <family val="2"/>
    </font>
    <font>
      <sz val="20"/>
      <color theme="1"/>
      <name val="Arial"/>
      <family val="2"/>
    </font>
    <font>
      <sz val="36"/>
      <color theme="5"/>
      <name val="Segoe UI Symbol"/>
      <family val="2"/>
    </font>
    <font>
      <sz val="36"/>
      <color theme="5"/>
      <name val="Arial"/>
      <family val="2"/>
    </font>
    <font>
      <b/>
      <sz val="20"/>
      <color theme="0"/>
      <name val="Arial"/>
      <family val="2"/>
    </font>
    <font>
      <sz val="11"/>
      <color theme="6" tint="0.59999389629810485"/>
      <name val="Arial"/>
      <family val="2"/>
    </font>
    <font>
      <i/>
      <sz val="11"/>
      <color theme="1" tint="0.249977111117893"/>
      <name val="Arial"/>
      <family val="2"/>
    </font>
    <font>
      <sz val="11"/>
      <color rgb="FF00B0F0"/>
      <name val="Arial"/>
      <family val="2"/>
    </font>
    <font>
      <sz val="11"/>
      <color rgb="FFFF0000"/>
      <name val="Arial"/>
      <family val="2"/>
    </font>
    <font>
      <b/>
      <sz val="11"/>
      <color theme="1"/>
      <name val="Calibri"/>
      <family val="2"/>
      <charset val="186"/>
      <scheme val="minor"/>
    </font>
    <font>
      <sz val="10"/>
      <color theme="1"/>
      <name val="Calibri"/>
      <family val="2"/>
      <charset val="186"/>
      <scheme val="minor"/>
    </font>
    <font>
      <u/>
      <sz val="9"/>
      <color theme="10"/>
      <name val="Calibri"/>
      <family val="2"/>
      <scheme val="minor"/>
    </font>
    <font>
      <b/>
      <sz val="9"/>
      <color theme="7" tint="0.39997558519241921"/>
      <name val="Arial"/>
      <family val="2"/>
    </font>
    <font>
      <u/>
      <sz val="9"/>
      <color theme="1"/>
      <name val="Arial"/>
      <family val="2"/>
    </font>
    <font>
      <sz val="9"/>
      <color theme="1"/>
      <name val="Arial"/>
      <family val="2"/>
    </font>
    <font>
      <u/>
      <sz val="9"/>
      <color theme="0"/>
      <name val="Calibri"/>
      <family val="2"/>
      <scheme val="minor"/>
    </font>
  </fonts>
  <fills count="31">
    <fill>
      <patternFill patternType="none"/>
    </fill>
    <fill>
      <patternFill patternType="gray125"/>
    </fill>
    <fill>
      <patternFill patternType="solid">
        <fgColor theme="9"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rgb="FF92D050"/>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7"/>
        <bgColor indexed="64"/>
      </patternFill>
    </fill>
    <fill>
      <patternFill patternType="solid">
        <fgColor theme="5" tint="0.39997558519241921"/>
        <bgColor indexed="64"/>
      </patternFill>
    </fill>
    <fill>
      <patternFill patternType="solid">
        <fgColor theme="5"/>
        <bgColor indexed="64"/>
      </patternFill>
    </fill>
    <fill>
      <patternFill patternType="solid">
        <fgColor theme="7" tint="0.79998168889431442"/>
        <bgColor indexed="64"/>
      </patternFill>
    </fill>
    <fill>
      <patternFill patternType="solid">
        <fgColor rgb="FFF3F9FF"/>
        <bgColor indexed="64"/>
      </patternFill>
    </fill>
    <fill>
      <patternFill patternType="solid">
        <fgColor theme="0"/>
        <bgColor indexed="64"/>
      </patternFill>
    </fill>
    <fill>
      <patternFill patternType="solid">
        <fgColor theme="2" tint="-0.499984740745262"/>
        <bgColor indexed="64"/>
      </patternFill>
    </fill>
    <fill>
      <patternFill patternType="solid">
        <fgColor rgb="FFC00000"/>
        <bgColor indexed="64"/>
      </patternFill>
    </fill>
    <fill>
      <patternFill patternType="solid">
        <fgColor rgb="FFFFEEE7"/>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8"/>
        <bgColor indexed="64"/>
      </patternFill>
    </fill>
    <fill>
      <patternFill patternType="solid">
        <fgColor rgb="FFFFCCFF"/>
        <bgColor indexed="64"/>
      </patternFill>
    </fill>
  </fills>
  <borders count="37">
    <border>
      <left/>
      <right/>
      <top/>
      <bottom/>
      <diagonal/>
    </border>
    <border>
      <left style="thin">
        <color theme="0"/>
      </left>
      <right style="thin">
        <color theme="0"/>
      </right>
      <top style="thin">
        <color theme="0"/>
      </top>
      <bottom style="thin">
        <color theme="0"/>
      </bottom>
      <diagonal/>
    </border>
    <border>
      <left/>
      <right/>
      <top/>
      <bottom style="thin">
        <color theme="0" tint="-0.249977111117893"/>
      </bottom>
      <diagonal/>
    </border>
    <border>
      <left style="thin">
        <color theme="0" tint="-0.249977111117893"/>
      </left>
      <right/>
      <top/>
      <bottom/>
      <diagonal/>
    </border>
    <border>
      <left/>
      <right style="thin">
        <color theme="0"/>
      </right>
      <top/>
      <bottom/>
      <diagonal/>
    </border>
    <border>
      <left style="thin">
        <color theme="2"/>
      </left>
      <right/>
      <top/>
      <bottom/>
      <diagonal/>
    </border>
    <border>
      <left style="thin">
        <color theme="2"/>
      </left>
      <right style="thin">
        <color theme="2"/>
      </right>
      <top style="thin">
        <color theme="2"/>
      </top>
      <bottom style="thin">
        <color theme="2"/>
      </bottom>
      <diagonal/>
    </border>
    <border>
      <left/>
      <right/>
      <top style="thin">
        <color theme="2"/>
      </top>
      <bottom style="thin">
        <color theme="2"/>
      </bottom>
      <diagonal/>
    </border>
    <border>
      <left/>
      <right/>
      <top/>
      <bottom style="thin">
        <color theme="2"/>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indexed="64"/>
      </left>
      <right/>
      <top/>
      <bottom/>
      <diagonal/>
    </border>
    <border>
      <left style="thin">
        <color theme="0"/>
      </left>
      <right style="thin">
        <color theme="0"/>
      </right>
      <top/>
      <bottom/>
      <diagonal/>
    </border>
    <border>
      <left style="thin">
        <color theme="0"/>
      </left>
      <right style="thin">
        <color theme="0" tint="-0.499984740745262"/>
      </right>
      <top/>
      <bottom/>
      <diagonal/>
    </border>
    <border>
      <left style="thin">
        <color theme="1" tint="0.34998626667073579"/>
      </left>
      <right/>
      <top/>
      <bottom/>
      <diagonal/>
    </border>
    <border>
      <left style="thin">
        <color theme="1" tint="0.34998626667073579"/>
      </left>
      <right style="thin">
        <color theme="0" tint="-0.499984740745262"/>
      </right>
      <top/>
      <bottom/>
      <diagonal/>
    </border>
    <border>
      <left style="thin">
        <color theme="0" tint="-0.499984740745262"/>
      </left>
      <right style="thin">
        <color theme="1" tint="0.34998626667073579"/>
      </right>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style="thin">
        <color theme="0" tint="-0.499984740745262"/>
      </left>
      <right style="thin">
        <color theme="0"/>
      </right>
      <top style="thin">
        <color theme="0"/>
      </top>
      <bottom style="thin">
        <color theme="0"/>
      </bottom>
      <diagonal/>
    </border>
    <border>
      <left/>
      <right/>
      <top style="thin">
        <color theme="0" tint="-0.249977111117893"/>
      </top>
      <bottom/>
      <diagonal/>
    </border>
  </borders>
  <cellStyleXfs count="4">
    <xf numFmtId="0" fontId="0" fillId="0" borderId="0"/>
    <xf numFmtId="0" fontId="1" fillId="0" borderId="0" applyNumberFormat="0" applyFill="0" applyBorder="0" applyAlignment="0" applyProtection="0"/>
    <xf numFmtId="9" fontId="11" fillId="0" borderId="0" applyFont="0" applyFill="0" applyBorder="0" applyAlignment="0" applyProtection="0"/>
    <xf numFmtId="43" fontId="11" fillId="0" borderId="0" applyFont="0" applyFill="0" applyBorder="0" applyAlignment="0" applyProtection="0"/>
  </cellStyleXfs>
  <cellXfs count="407">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center"/>
    </xf>
    <xf numFmtId="0" fontId="4" fillId="0" borderId="0" xfId="0" applyFont="1" applyAlignment="1">
      <alignment horizontal="center" vertical="center"/>
    </xf>
    <xf numFmtId="0" fontId="5" fillId="3" borderId="0" xfId="0" applyFont="1" applyFill="1" applyAlignment="1">
      <alignment horizontal="center"/>
    </xf>
    <xf numFmtId="0" fontId="5" fillId="4" borderId="0" xfId="0" applyFont="1" applyFill="1" applyAlignment="1">
      <alignment horizontal="center"/>
    </xf>
    <xf numFmtId="0" fontId="5" fillId="5" borderId="0" xfId="0" applyFont="1" applyFill="1" applyAlignment="1">
      <alignment horizontal="center"/>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12" borderId="0" xfId="0" applyFont="1" applyFill="1"/>
    <xf numFmtId="0" fontId="3" fillId="13" borderId="0" xfId="0" applyFont="1" applyFill="1"/>
    <xf numFmtId="0" fontId="8" fillId="13" borderId="0" xfId="0" applyFont="1" applyFill="1" applyAlignment="1">
      <alignment horizontal="left" vertical="center"/>
    </xf>
    <xf numFmtId="0" fontId="3" fillId="0" borderId="3" xfId="0" applyFont="1" applyBorder="1"/>
    <xf numFmtId="0" fontId="3" fillId="0" borderId="0" xfId="0" applyFont="1" applyAlignment="1">
      <alignment vertical="center"/>
    </xf>
    <xf numFmtId="0" fontId="3" fillId="0" borderId="3" xfId="0" applyFont="1" applyBorder="1" applyAlignment="1">
      <alignment vertical="center"/>
    </xf>
    <xf numFmtId="0" fontId="3" fillId="14" borderId="0" xfId="0" applyFont="1" applyFill="1"/>
    <xf numFmtId="0" fontId="5" fillId="14" borderId="0" xfId="0" applyFont="1" applyFill="1"/>
    <xf numFmtId="0" fontId="5" fillId="12" borderId="0" xfId="0" applyFont="1" applyFill="1" applyAlignment="1">
      <alignment horizontal="left" wrapText="1"/>
    </xf>
    <xf numFmtId="0" fontId="5" fillId="16" borderId="0" xfId="0" applyFont="1" applyFill="1" applyAlignment="1">
      <alignment horizontal="left"/>
    </xf>
    <xf numFmtId="0" fontId="3" fillId="16" borderId="0" xfId="0" applyFont="1" applyFill="1"/>
    <xf numFmtId="0" fontId="5" fillId="17" borderId="0" xfId="0" applyFont="1" applyFill="1"/>
    <xf numFmtId="0" fontId="3" fillId="17" borderId="0" xfId="0" applyFont="1" applyFill="1"/>
    <xf numFmtId="0" fontId="8" fillId="11" borderId="0" xfId="0" applyFont="1" applyFill="1" applyAlignment="1">
      <alignment horizontal="left" vertical="center"/>
    </xf>
    <xf numFmtId="0" fontId="3" fillId="11" borderId="0" xfId="0" applyFont="1" applyFill="1"/>
    <xf numFmtId="0" fontId="3" fillId="0" borderId="0" xfId="0" applyFont="1" applyAlignment="1">
      <alignment horizontal="right" vertical="center"/>
    </xf>
    <xf numFmtId="0" fontId="3" fillId="18" borderId="0" xfId="0" applyFont="1" applyFill="1" applyAlignment="1">
      <alignment horizontal="center" vertical="center"/>
    </xf>
    <xf numFmtId="0" fontId="3" fillId="0" borderId="0" xfId="0" applyFont="1" applyAlignment="1">
      <alignment horizontal="center" vertical="center"/>
    </xf>
    <xf numFmtId="0" fontId="7" fillId="0" borderId="0" xfId="0" applyFont="1" applyAlignment="1">
      <alignment vertical="center"/>
    </xf>
    <xf numFmtId="0" fontId="16" fillId="0" borderId="0" xfId="0" applyFont="1" applyAlignment="1">
      <alignment vertical="center"/>
    </xf>
    <xf numFmtId="0" fontId="3" fillId="18" borderId="1" xfId="0" applyFont="1" applyFill="1" applyBorder="1" applyAlignment="1">
      <alignment horizontal="center" vertical="center"/>
    </xf>
    <xf numFmtId="0" fontId="3" fillId="0" borderId="8" xfId="0" applyFont="1" applyBorder="1"/>
    <xf numFmtId="165" fontId="3" fillId="18" borderId="1" xfId="2" applyNumberFormat="1" applyFont="1" applyFill="1" applyBorder="1" applyAlignment="1">
      <alignment horizontal="center" vertical="center"/>
    </xf>
    <xf numFmtId="165" fontId="3" fillId="6" borderId="1" xfId="0" applyNumberFormat="1" applyFont="1" applyFill="1" applyBorder="1" applyAlignment="1">
      <alignment horizontal="center" vertical="center"/>
    </xf>
    <xf numFmtId="0" fontId="3" fillId="14" borderId="0" xfId="0" applyFont="1" applyFill="1" applyAlignment="1">
      <alignment horizontal="center"/>
    </xf>
    <xf numFmtId="0" fontId="3" fillId="13" borderId="0" xfId="0" applyFont="1" applyFill="1" applyAlignment="1">
      <alignment horizontal="center"/>
    </xf>
    <xf numFmtId="0" fontId="3" fillId="0" borderId="8" xfId="0" applyFont="1" applyBorder="1" applyAlignment="1">
      <alignment horizontal="center"/>
    </xf>
    <xf numFmtId="0" fontId="18" fillId="0" borderId="0" xfId="0" applyFont="1" applyAlignment="1">
      <alignment vertical="center"/>
    </xf>
    <xf numFmtId="0" fontId="19" fillId="0" borderId="8" xfId="0" applyFont="1" applyBorder="1"/>
    <xf numFmtId="43" fontId="3" fillId="6" borderId="6" xfId="3" applyFont="1" applyFill="1" applyBorder="1" applyAlignment="1">
      <alignment horizontal="center" vertical="center"/>
    </xf>
    <xf numFmtId="0" fontId="17" fillId="0" borderId="0" xfId="0" applyFont="1" applyAlignment="1">
      <alignment horizontal="center" vertical="center"/>
    </xf>
    <xf numFmtId="0" fontId="5" fillId="12" borderId="0" xfId="0" applyFont="1" applyFill="1" applyAlignment="1">
      <alignment horizontal="left"/>
    </xf>
    <xf numFmtId="0" fontId="17" fillId="12" borderId="0" xfId="0" applyFont="1" applyFill="1" applyAlignment="1">
      <alignment horizontal="center" vertical="center" wrapText="1"/>
    </xf>
    <xf numFmtId="0" fontId="17" fillId="12" borderId="0" xfId="0" applyFont="1" applyFill="1" applyAlignment="1">
      <alignment horizontal="left" vertical="center"/>
    </xf>
    <xf numFmtId="0" fontId="20" fillId="0" borderId="0" xfId="0" applyFont="1" applyAlignment="1">
      <alignment horizontal="left" vertical="center"/>
    </xf>
    <xf numFmtId="165" fontId="3" fillId="6" borderId="6" xfId="2" applyNumberFormat="1" applyFont="1" applyFill="1" applyBorder="1" applyAlignment="1">
      <alignment horizontal="center" vertical="center"/>
    </xf>
    <xf numFmtId="0" fontId="3" fillId="20" borderId="0" xfId="0" applyFont="1" applyFill="1" applyAlignment="1">
      <alignment vertical="center"/>
    </xf>
    <xf numFmtId="0" fontId="3" fillId="22" borderId="0" xfId="0" applyFont="1" applyFill="1"/>
    <xf numFmtId="0" fontId="3" fillId="10" borderId="0" xfId="0" applyFont="1" applyFill="1"/>
    <xf numFmtId="165" fontId="3" fillId="6" borderId="1" xfId="2" applyNumberFormat="1" applyFont="1" applyFill="1" applyBorder="1" applyAlignment="1">
      <alignment horizontal="center" vertical="center"/>
    </xf>
    <xf numFmtId="165" fontId="3" fillId="6" borderId="1" xfId="3" applyNumberFormat="1" applyFont="1" applyFill="1" applyBorder="1" applyAlignment="1">
      <alignment horizontal="center" vertical="center"/>
    </xf>
    <xf numFmtId="165" fontId="3" fillId="18" borderId="1" xfId="2" applyNumberFormat="1" applyFont="1" applyFill="1" applyBorder="1" applyAlignment="1">
      <alignment horizontal="center"/>
    </xf>
    <xf numFmtId="0" fontId="21" fillId="0" borderId="0" xfId="0" applyFont="1" applyAlignment="1">
      <alignment vertical="center"/>
    </xf>
    <xf numFmtId="0" fontId="17" fillId="21" borderId="0" xfId="0" applyFont="1" applyFill="1" applyAlignment="1">
      <alignment horizontal="left" vertical="center"/>
    </xf>
    <xf numFmtId="0" fontId="15" fillId="13" borderId="0" xfId="0" applyFont="1" applyFill="1"/>
    <xf numFmtId="0" fontId="17" fillId="16" borderId="0" xfId="0" applyFont="1" applyFill="1" applyAlignment="1">
      <alignment horizontal="left"/>
    </xf>
    <xf numFmtId="0" fontId="3" fillId="8" borderId="0" xfId="0" applyFont="1" applyFill="1"/>
    <xf numFmtId="0" fontId="3" fillId="8" borderId="0" xfId="0" applyFont="1" applyFill="1" applyAlignment="1">
      <alignment vertical="center"/>
    </xf>
    <xf numFmtId="0" fontId="17" fillId="9" borderId="0" xfId="0" applyFont="1" applyFill="1"/>
    <xf numFmtId="0" fontId="3" fillId="2" borderId="0" xfId="0" applyFont="1" applyFill="1" applyAlignment="1">
      <alignment horizontal="left" vertical="top" wrapText="1"/>
    </xf>
    <xf numFmtId="0" fontId="22" fillId="7" borderId="0" xfId="0" applyFont="1" applyFill="1"/>
    <xf numFmtId="0" fontId="3" fillId="7" borderId="0" xfId="0" applyFont="1" applyFill="1"/>
    <xf numFmtId="0" fontId="3" fillId="0" borderId="5" xfId="0" applyFont="1" applyBorder="1"/>
    <xf numFmtId="0" fontId="3" fillId="0" borderId="5" xfId="0" applyFont="1" applyBorder="1" applyAlignment="1">
      <alignment vertical="center"/>
    </xf>
    <xf numFmtId="0" fontId="3" fillId="0" borderId="8" xfId="0" applyFont="1" applyBorder="1" applyAlignment="1">
      <alignment horizontal="right" vertical="center"/>
    </xf>
    <xf numFmtId="0" fontId="3" fillId="0" borderId="8" xfId="0" applyFont="1" applyBorder="1" applyAlignment="1">
      <alignment vertical="center"/>
    </xf>
    <xf numFmtId="0" fontId="3" fillId="20" borderId="5" xfId="0" applyFont="1" applyFill="1" applyBorder="1"/>
    <xf numFmtId="0" fontId="3" fillId="20" borderId="5" xfId="0" applyFont="1" applyFill="1" applyBorder="1" applyAlignment="1">
      <alignment vertical="center"/>
    </xf>
    <xf numFmtId="0" fontId="3" fillId="6" borderId="0" xfId="0" applyFont="1" applyFill="1" applyAlignment="1">
      <alignment vertical="center"/>
    </xf>
    <xf numFmtId="0" fontId="3" fillId="6" borderId="0" xfId="0" applyFont="1" applyFill="1"/>
    <xf numFmtId="0" fontId="5" fillId="0" borderId="0" xfId="0" applyFont="1" applyAlignment="1">
      <alignment horizontal="center"/>
    </xf>
    <xf numFmtId="0" fontId="23" fillId="19" borderId="0" xfId="0" applyFont="1" applyFill="1" applyAlignment="1">
      <alignment horizontal="center" vertical="center"/>
    </xf>
    <xf numFmtId="0" fontId="3" fillId="19" borderId="0" xfId="0" applyFont="1" applyFill="1" applyAlignment="1">
      <alignment horizontal="center"/>
    </xf>
    <xf numFmtId="0" fontId="23" fillId="23" borderId="0" xfId="0" applyFont="1" applyFill="1" applyAlignment="1">
      <alignment horizontal="center" vertical="center"/>
    </xf>
    <xf numFmtId="0" fontId="5" fillId="0" borderId="5" xfId="0" applyFont="1" applyBorder="1" applyAlignment="1">
      <alignment horizontal="center"/>
    </xf>
    <xf numFmtId="0" fontId="21" fillId="0" borderId="11" xfId="0" applyFont="1" applyBorder="1" applyAlignment="1">
      <alignment vertical="center"/>
    </xf>
    <xf numFmtId="43" fontId="21" fillId="0" borderId="12" xfId="3" applyFont="1" applyFill="1" applyBorder="1" applyAlignment="1">
      <alignment vertical="center"/>
    </xf>
    <xf numFmtId="0" fontId="21" fillId="0" borderId="12" xfId="0" applyFont="1" applyBorder="1" applyAlignment="1">
      <alignment vertical="center"/>
    </xf>
    <xf numFmtId="0" fontId="21" fillId="0" borderId="13" xfId="0" applyFont="1" applyBorder="1" applyAlignment="1">
      <alignment vertical="center"/>
    </xf>
    <xf numFmtId="0" fontId="21" fillId="0" borderId="15" xfId="0" applyFont="1" applyBorder="1" applyAlignment="1">
      <alignment vertical="center"/>
    </xf>
    <xf numFmtId="43" fontId="21" fillId="0" borderId="8" xfId="3" applyFont="1" applyFill="1" applyBorder="1" applyAlignment="1">
      <alignment vertical="center"/>
    </xf>
    <xf numFmtId="0" fontId="21" fillId="0" borderId="8" xfId="0" applyFont="1" applyBorder="1" applyAlignment="1">
      <alignment vertical="center"/>
    </xf>
    <xf numFmtId="0" fontId="21" fillId="0" borderId="16" xfId="0" applyFont="1" applyBorder="1" applyAlignment="1">
      <alignment vertical="center"/>
    </xf>
    <xf numFmtId="165" fontId="21" fillId="0" borderId="12" xfId="0" applyNumberFormat="1" applyFont="1" applyBorder="1" applyAlignment="1">
      <alignment vertical="center"/>
    </xf>
    <xf numFmtId="165" fontId="21" fillId="0" borderId="8" xfId="0" applyNumberFormat="1" applyFont="1" applyBorder="1" applyAlignment="1">
      <alignment vertical="center"/>
    </xf>
    <xf numFmtId="165" fontId="24" fillId="0" borderId="11" xfId="2" applyNumberFormat="1" applyFont="1" applyBorder="1"/>
    <xf numFmtId="0" fontId="24" fillId="0" borderId="12" xfId="0" applyFont="1" applyBorder="1"/>
    <xf numFmtId="0" fontId="24" fillId="0" borderId="13" xfId="0" applyFont="1" applyBorder="1"/>
    <xf numFmtId="165" fontId="24" fillId="0" borderId="5" xfId="2" applyNumberFormat="1" applyFont="1" applyBorder="1" applyAlignment="1">
      <alignment vertical="center"/>
    </xf>
    <xf numFmtId="0" fontId="24" fillId="0" borderId="0" xfId="0" applyFont="1" applyAlignment="1">
      <alignment vertical="center"/>
    </xf>
    <xf numFmtId="0" fontId="24" fillId="0" borderId="14" xfId="0" applyFont="1" applyBorder="1" applyAlignment="1">
      <alignment vertical="center"/>
    </xf>
    <xf numFmtId="0" fontId="24" fillId="0" borderId="5" xfId="0" applyFont="1" applyBorder="1" applyAlignment="1">
      <alignment vertical="center"/>
    </xf>
    <xf numFmtId="43" fontId="24" fillId="0" borderId="5" xfId="3" applyFont="1" applyBorder="1" applyAlignment="1">
      <alignment vertical="center"/>
    </xf>
    <xf numFmtId="0" fontId="24" fillId="0" borderId="0" xfId="0" applyFont="1"/>
    <xf numFmtId="0" fontId="24" fillId="0" borderId="14" xfId="0" applyFont="1" applyBorder="1"/>
    <xf numFmtId="165" fontId="24" fillId="0" borderId="5" xfId="2" applyNumberFormat="1" applyFont="1" applyBorder="1"/>
    <xf numFmtId="165" fontId="24" fillId="0" borderId="15" xfId="2" applyNumberFormat="1" applyFont="1" applyBorder="1" applyAlignment="1">
      <alignment vertical="center"/>
    </xf>
    <xf numFmtId="0" fontId="24" fillId="0" borderId="8" xfId="0" applyFont="1" applyBorder="1" applyAlignment="1">
      <alignment vertical="center"/>
    </xf>
    <xf numFmtId="0" fontId="24" fillId="0" borderId="16"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6" xfId="0" applyFont="1" applyBorder="1" applyAlignment="1">
      <alignment vertical="center"/>
    </xf>
    <xf numFmtId="0" fontId="3" fillId="0" borderId="12" xfId="0" applyFont="1" applyBorder="1"/>
    <xf numFmtId="0" fontId="3" fillId="0" borderId="13" xfId="0" applyFont="1" applyBorder="1"/>
    <xf numFmtId="9" fontId="3" fillId="0" borderId="0" xfId="0" applyNumberFormat="1" applyFont="1"/>
    <xf numFmtId="0" fontId="25" fillId="0" borderId="0" xfId="0" applyFont="1"/>
    <xf numFmtId="0" fontId="25" fillId="0" borderId="5" xfId="0" applyFont="1" applyBorder="1"/>
    <xf numFmtId="0" fontId="25" fillId="0" borderId="0" xfId="0" applyFont="1" applyAlignment="1">
      <alignment horizontal="center"/>
    </xf>
    <xf numFmtId="43" fontId="25" fillId="0" borderId="0" xfId="0" applyNumberFormat="1" applyFont="1"/>
    <xf numFmtId="43" fontId="3" fillId="20" borderId="18" xfId="3" applyFont="1" applyFill="1" applyBorder="1" applyAlignment="1">
      <alignment horizontal="center"/>
    </xf>
    <xf numFmtId="164" fontId="3" fillId="0" borderId="0" xfId="3" applyNumberFormat="1" applyFont="1" applyFill="1" applyBorder="1" applyAlignment="1">
      <alignment horizontal="center" vertical="center"/>
    </xf>
    <xf numFmtId="165" fontId="3" fillId="0" borderId="0" xfId="3" applyNumberFormat="1" applyFont="1" applyFill="1" applyBorder="1" applyAlignment="1">
      <alignment horizontal="center" vertical="center"/>
    </xf>
    <xf numFmtId="165" fontId="3" fillId="0" borderId="0" xfId="2" applyNumberFormat="1" applyFont="1" applyFill="1" applyBorder="1" applyAlignment="1">
      <alignment horizontal="center" vertical="center"/>
    </xf>
    <xf numFmtId="43" fontId="3" fillId="0" borderId="0" xfId="3" applyFont="1" applyFill="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20" fillId="0" borderId="0" xfId="0" applyFont="1" applyAlignment="1">
      <alignment horizontal="right" vertical="center"/>
    </xf>
    <xf numFmtId="9" fontId="21" fillId="0" borderId="12" xfId="3" applyNumberFormat="1" applyFont="1" applyFill="1" applyBorder="1" applyAlignment="1">
      <alignment vertical="center"/>
    </xf>
    <xf numFmtId="9" fontId="21" fillId="0" borderId="8" xfId="2" applyFont="1" applyFill="1" applyBorder="1" applyAlignment="1">
      <alignment vertical="center"/>
    </xf>
    <xf numFmtId="43" fontId="21" fillId="0" borderId="0" xfId="3" applyFont="1" applyFill="1" applyBorder="1" applyAlignment="1">
      <alignment vertical="center"/>
    </xf>
    <xf numFmtId="0" fontId="17" fillId="12" borderId="0" xfId="0" applyFont="1" applyFill="1" applyAlignment="1">
      <alignment vertical="center"/>
    </xf>
    <xf numFmtId="0" fontId="17" fillId="21" borderId="19" xfId="0" applyFont="1" applyFill="1" applyBorder="1" applyAlignment="1">
      <alignment horizontal="left" vertical="center"/>
    </xf>
    <xf numFmtId="43" fontId="25" fillId="0" borderId="0" xfId="0" applyNumberFormat="1" applyFont="1" applyAlignment="1">
      <alignment horizontal="right"/>
    </xf>
    <xf numFmtId="2" fontId="3" fillId="18" borderId="1" xfId="3" applyNumberFormat="1" applyFont="1" applyFill="1" applyBorder="1" applyAlignment="1">
      <alignment horizontal="center" vertical="center"/>
    </xf>
    <xf numFmtId="0" fontId="15" fillId="0" borderId="0" xfId="0" applyFont="1" applyAlignment="1">
      <alignment horizontal="right" vertical="center"/>
    </xf>
    <xf numFmtId="0" fontId="3" fillId="2" borderId="0" xfId="0" applyFont="1" applyFill="1" applyAlignment="1">
      <alignment vertical="center" wrapText="1"/>
    </xf>
    <xf numFmtId="0" fontId="15" fillId="0" borderId="0" xfId="0" applyFont="1" applyAlignment="1">
      <alignment horizontal="right" vertical="top"/>
    </xf>
    <xf numFmtId="0" fontId="3" fillId="2" borderId="0" xfId="0" applyFont="1" applyFill="1" applyAlignment="1">
      <alignment horizontal="left" vertical="center" wrapText="1"/>
    </xf>
    <xf numFmtId="0" fontId="5" fillId="14" borderId="0" xfId="0" applyFont="1" applyFill="1" applyAlignment="1">
      <alignment horizontal="center"/>
    </xf>
    <xf numFmtId="0" fontId="26" fillId="14" borderId="0" xfId="0" applyFont="1" applyFill="1" applyAlignment="1">
      <alignment horizontal="left" vertical="center"/>
    </xf>
    <xf numFmtId="0" fontId="5" fillId="20" borderId="0" xfId="0" applyFont="1" applyFill="1" applyAlignment="1">
      <alignment horizontal="center"/>
    </xf>
    <xf numFmtId="0" fontId="13" fillId="20" borderId="0" xfId="1" applyFont="1" applyFill="1" applyAlignment="1">
      <alignment horizontal="center" vertical="center"/>
    </xf>
    <xf numFmtId="0" fontId="3" fillId="0" borderId="0" xfId="0" applyFont="1" applyAlignment="1">
      <alignment horizontal="left" vertical="center" wrapText="1"/>
    </xf>
    <xf numFmtId="0" fontId="5" fillId="20" borderId="0" xfId="0" applyFont="1" applyFill="1"/>
    <xf numFmtId="0" fontId="3" fillId="0" borderId="0" xfId="0" applyFont="1" applyAlignment="1">
      <alignment horizontal="left" vertical="center"/>
    </xf>
    <xf numFmtId="0" fontId="3" fillId="20" borderId="0" xfId="0" applyFont="1" applyFill="1" applyAlignment="1">
      <alignment horizontal="left" vertical="center"/>
    </xf>
    <xf numFmtId="0" fontId="3" fillId="0" borderId="5" xfId="0" applyFont="1" applyBorder="1" applyAlignment="1">
      <alignment horizontal="left" vertical="center"/>
    </xf>
    <xf numFmtId="0" fontId="28" fillId="0" borderId="0" xfId="0" applyFont="1" applyAlignment="1">
      <alignment horizontal="left" vertical="center"/>
    </xf>
    <xf numFmtId="0" fontId="26" fillId="14" borderId="0" xfId="0" applyFont="1" applyFill="1" applyAlignment="1">
      <alignment horizontal="center" vertical="center"/>
    </xf>
    <xf numFmtId="0" fontId="31" fillId="0" borderId="20" xfId="0" applyFont="1" applyBorder="1" applyAlignment="1">
      <alignment horizontal="center" vertical="center"/>
    </xf>
    <xf numFmtId="0" fontId="32" fillId="0" borderId="20" xfId="0" applyFont="1" applyBorder="1" applyAlignment="1">
      <alignment horizontal="center" vertical="center"/>
    </xf>
    <xf numFmtId="0" fontId="29" fillId="0" borderId="21" xfId="0" applyFont="1" applyBorder="1" applyAlignment="1">
      <alignment horizontal="center" vertical="center"/>
    </xf>
    <xf numFmtId="0" fontId="3" fillId="0" borderId="0" xfId="0" applyFont="1" applyAlignment="1">
      <alignment horizontal="left"/>
    </xf>
    <xf numFmtId="0" fontId="33" fillId="0" borderId="0" xfId="0" applyFont="1" applyAlignment="1">
      <alignment horizontal="right" vertical="center"/>
    </xf>
    <xf numFmtId="0" fontId="3" fillId="0" borderId="22" xfId="0" applyFont="1" applyBorder="1" applyAlignment="1">
      <alignment horizontal="left"/>
    </xf>
    <xf numFmtId="0" fontId="31" fillId="0" borderId="21" xfId="0" applyFont="1" applyBorder="1" applyAlignment="1">
      <alignment horizontal="center" vertical="center"/>
    </xf>
    <xf numFmtId="0" fontId="34" fillId="20" borderId="0" xfId="1" applyFont="1" applyFill="1" applyAlignment="1">
      <alignment horizontal="center" vertical="center"/>
    </xf>
    <xf numFmtId="0" fontId="35" fillId="0" borderId="0" xfId="0" applyFont="1" applyAlignment="1">
      <alignment horizontal="center" vertical="center"/>
    </xf>
    <xf numFmtId="0" fontId="5" fillId="0" borderId="0" xfId="0" applyFont="1"/>
    <xf numFmtId="0" fontId="31" fillId="7" borderId="19" xfId="0" applyFont="1" applyFill="1" applyBorder="1" applyAlignment="1">
      <alignment horizontal="center" vertical="center"/>
    </xf>
    <xf numFmtId="0" fontId="31" fillId="7" borderId="23" xfId="0" applyFont="1" applyFill="1" applyBorder="1" applyAlignment="1">
      <alignment horizontal="center" vertical="center"/>
    </xf>
    <xf numFmtId="0" fontId="3" fillId="0" borderId="26" xfId="0" applyFont="1" applyBorder="1" applyAlignment="1">
      <alignment horizontal="left" vertical="center" wrapText="1"/>
    </xf>
    <xf numFmtId="0" fontId="3" fillId="0" borderId="21" xfId="0" applyFont="1" applyBorder="1" applyAlignment="1">
      <alignment horizontal="left" vertical="center" wrapText="1"/>
    </xf>
    <xf numFmtId="0" fontId="3" fillId="20" borderId="21" xfId="0" applyFont="1" applyFill="1" applyBorder="1" applyAlignment="1">
      <alignment horizontal="left" vertical="center" wrapText="1"/>
    </xf>
    <xf numFmtId="0" fontId="3" fillId="7" borderId="24" xfId="0" applyFont="1" applyFill="1" applyBorder="1" applyAlignment="1">
      <alignment horizontal="left" vertical="center" wrapText="1"/>
    </xf>
    <xf numFmtId="0" fontId="36" fillId="0" borderId="0" xfId="0" applyFont="1" applyAlignment="1">
      <alignment horizontal="left" vertical="center" wrapText="1"/>
    </xf>
    <xf numFmtId="0" fontId="36" fillId="0" borderId="25" xfId="0" applyFont="1" applyBorder="1" applyAlignment="1">
      <alignment horizontal="left" vertical="center" wrapText="1"/>
    </xf>
    <xf numFmtId="0" fontId="37" fillId="7" borderId="19" xfId="0" applyFont="1" applyFill="1" applyBorder="1" applyAlignment="1">
      <alignment horizontal="center" vertical="center"/>
    </xf>
    <xf numFmtId="0" fontId="38" fillId="7" borderId="19" xfId="0" applyFont="1" applyFill="1" applyBorder="1" applyAlignment="1">
      <alignment horizontal="center" vertical="center"/>
    </xf>
    <xf numFmtId="0" fontId="15" fillId="0" borderId="0" xfId="0" applyFont="1" applyAlignment="1">
      <alignment horizontal="center" vertical="center" wrapText="1"/>
    </xf>
    <xf numFmtId="0" fontId="15" fillId="7" borderId="0" xfId="0" applyFont="1" applyFill="1" applyAlignment="1">
      <alignment horizontal="center" vertical="center" wrapText="1"/>
    </xf>
    <xf numFmtId="0" fontId="3" fillId="0" borderId="25" xfId="0" applyFont="1" applyBorder="1" applyAlignment="1">
      <alignment horizontal="left" vertical="center" wrapText="1"/>
    </xf>
    <xf numFmtId="0" fontId="3" fillId="7" borderId="19" xfId="0" applyFont="1" applyFill="1" applyBorder="1" applyAlignment="1">
      <alignment horizontal="left" vertical="center"/>
    </xf>
    <xf numFmtId="0" fontId="3" fillId="0" borderId="25" xfId="0" applyFont="1" applyBorder="1" applyAlignment="1">
      <alignment horizontal="left" vertical="center"/>
    </xf>
    <xf numFmtId="0" fontId="3" fillId="25" borderId="28" xfId="0" applyFont="1" applyFill="1" applyBorder="1" applyAlignment="1">
      <alignment horizontal="center" vertical="center" wrapText="1"/>
    </xf>
    <xf numFmtId="0" fontId="30" fillId="25" borderId="28" xfId="0" applyFont="1" applyFill="1" applyBorder="1" applyAlignment="1">
      <alignment horizontal="center" vertical="center"/>
    </xf>
    <xf numFmtId="0" fontId="3" fillId="25" borderId="28" xfId="0" applyFont="1" applyFill="1" applyBorder="1" applyAlignment="1">
      <alignment horizontal="left" vertical="center"/>
    </xf>
    <xf numFmtId="0" fontId="15" fillId="25" borderId="28" xfId="0" applyFont="1" applyFill="1" applyBorder="1" applyAlignment="1">
      <alignment horizontal="center" vertical="center" wrapText="1"/>
    </xf>
    <xf numFmtId="0" fontId="3" fillId="25" borderId="29" xfId="0" applyFont="1" applyFill="1" applyBorder="1" applyAlignment="1">
      <alignment horizontal="left" vertical="center" wrapText="1"/>
    </xf>
    <xf numFmtId="0" fontId="3" fillId="25" borderId="17" xfId="0" applyFont="1" applyFill="1" applyBorder="1" applyAlignment="1">
      <alignment horizontal="center" vertical="center"/>
    </xf>
    <xf numFmtId="0" fontId="3" fillId="25" borderId="28" xfId="0" applyFont="1" applyFill="1" applyBorder="1"/>
    <xf numFmtId="0" fontId="3" fillId="25" borderId="28" xfId="0" applyFont="1" applyFill="1" applyBorder="1" applyAlignment="1">
      <alignment horizontal="center"/>
    </xf>
    <xf numFmtId="0" fontId="3" fillId="25" borderId="29" xfId="0" applyFont="1" applyFill="1" applyBorder="1"/>
    <xf numFmtId="0" fontId="5" fillId="14" borderId="17"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5" fillId="14" borderId="28" xfId="0" applyFont="1" applyFill="1" applyBorder="1" applyAlignment="1">
      <alignment horizontal="center" vertical="center" wrapText="1"/>
    </xf>
    <xf numFmtId="0" fontId="3" fillId="7" borderId="0" xfId="0" applyFont="1" applyFill="1" applyAlignment="1">
      <alignment horizontal="center" vertical="center" wrapText="1"/>
    </xf>
    <xf numFmtId="0" fontId="3" fillId="25" borderId="1" xfId="0" applyFont="1" applyFill="1" applyBorder="1" applyAlignment="1">
      <alignment horizontal="center" vertical="center" wrapText="1"/>
    </xf>
    <xf numFmtId="0" fontId="36" fillId="0" borderId="0" xfId="0" applyFont="1" applyAlignment="1">
      <alignment vertical="center" wrapText="1"/>
    </xf>
    <xf numFmtId="0" fontId="3" fillId="26" borderId="17" xfId="0" applyFont="1" applyFill="1" applyBorder="1" applyAlignment="1">
      <alignment horizontal="center" vertical="center" wrapText="1"/>
    </xf>
    <xf numFmtId="0" fontId="31" fillId="26" borderId="28" xfId="0" applyFont="1" applyFill="1" applyBorder="1" applyAlignment="1">
      <alignment horizontal="center" vertical="center"/>
    </xf>
    <xf numFmtId="0" fontId="37" fillId="26" borderId="28" xfId="0" applyFont="1" applyFill="1" applyBorder="1" applyAlignment="1">
      <alignment horizontal="center" vertical="center"/>
    </xf>
    <xf numFmtId="0" fontId="3" fillId="26" borderId="28" xfId="0" applyFont="1" applyFill="1" applyBorder="1" applyAlignment="1">
      <alignment horizontal="left" vertical="center" wrapText="1"/>
    </xf>
    <xf numFmtId="0" fontId="15" fillId="26" borderId="28" xfId="0" applyFont="1" applyFill="1" applyBorder="1" applyAlignment="1">
      <alignment horizontal="center" vertical="center" wrapText="1"/>
    </xf>
    <xf numFmtId="0" fontId="3" fillId="26" borderId="29" xfId="0" applyFont="1" applyFill="1" applyBorder="1" applyAlignment="1">
      <alignment horizontal="left" vertical="center" wrapText="1"/>
    </xf>
    <xf numFmtId="0" fontId="37" fillId="26" borderId="17" xfId="0" applyFont="1" applyFill="1" applyBorder="1" applyAlignment="1">
      <alignment horizontal="center" vertical="center"/>
    </xf>
    <xf numFmtId="0" fontId="3" fillId="26" borderId="28" xfId="0" applyFont="1" applyFill="1" applyBorder="1" applyAlignment="1">
      <alignment horizontal="left" vertical="center"/>
    </xf>
    <xf numFmtId="0" fontId="15" fillId="26" borderId="0" xfId="0" applyFont="1" applyFill="1" applyAlignment="1">
      <alignment horizontal="center" vertical="center" wrapText="1"/>
    </xf>
    <xf numFmtId="0" fontId="32" fillId="26" borderId="0" xfId="0" applyFont="1" applyFill="1" applyAlignment="1">
      <alignment horizontal="center" vertical="center"/>
    </xf>
    <xf numFmtId="0" fontId="38" fillId="26" borderId="0" xfId="0" applyFont="1" applyFill="1" applyAlignment="1">
      <alignment horizontal="center" vertical="center"/>
    </xf>
    <xf numFmtId="0" fontId="3" fillId="26" borderId="0" xfId="0" applyFont="1" applyFill="1" applyAlignment="1">
      <alignment horizontal="left" vertical="center"/>
    </xf>
    <xf numFmtId="0" fontId="3" fillId="26" borderId="0" xfId="0" applyFont="1" applyFill="1" applyAlignment="1">
      <alignment horizontal="left" vertical="center" wrapText="1"/>
    </xf>
    <xf numFmtId="0" fontId="5" fillId="9" borderId="9" xfId="0" applyFont="1" applyFill="1" applyBorder="1"/>
    <xf numFmtId="0" fontId="5" fillId="9" borderId="1" xfId="0" applyFont="1" applyFill="1" applyBorder="1" applyAlignment="1">
      <alignment horizontal="center" vertical="center" wrapText="1"/>
    </xf>
    <xf numFmtId="0" fontId="29" fillId="9" borderId="23" xfId="0" applyFont="1" applyFill="1" applyBorder="1" applyAlignment="1">
      <alignment horizontal="center" vertical="center"/>
    </xf>
    <xf numFmtId="0" fontId="3" fillId="9" borderId="1" xfId="0" applyFont="1" applyFill="1" applyBorder="1" applyAlignment="1">
      <alignment horizontal="left" vertical="center"/>
    </xf>
    <xf numFmtId="0" fontId="3" fillId="9" borderId="23" xfId="0" applyFont="1" applyFill="1" applyBorder="1" applyAlignment="1">
      <alignment horizontal="left" vertical="center"/>
    </xf>
    <xf numFmtId="0" fontId="3" fillId="9" borderId="10" xfId="0" applyFont="1" applyFill="1" applyBorder="1" applyAlignment="1">
      <alignment vertical="center"/>
    </xf>
    <xf numFmtId="0" fontId="3" fillId="9" borderId="1" xfId="0" applyFont="1" applyFill="1" applyBorder="1"/>
    <xf numFmtId="0" fontId="40" fillId="0" borderId="0" xfId="0" applyFont="1" applyAlignment="1">
      <alignment horizontal="right" vertical="center"/>
    </xf>
    <xf numFmtId="0" fontId="3" fillId="0" borderId="0" xfId="0" applyFont="1" applyAlignment="1">
      <alignment horizontal="right" vertical="top"/>
    </xf>
    <xf numFmtId="0" fontId="3" fillId="0" borderId="21" xfId="0" applyFont="1" applyBorder="1" applyAlignment="1">
      <alignment horizontal="center" vertical="center" wrapText="1"/>
    </xf>
    <xf numFmtId="0" fontId="3" fillId="27" borderId="0" xfId="0" applyFont="1" applyFill="1" applyAlignment="1">
      <alignment vertical="center"/>
    </xf>
    <xf numFmtId="0" fontId="39" fillId="27" borderId="0" xfId="0" applyFont="1" applyFill="1" applyAlignment="1">
      <alignment horizontal="left" vertical="center"/>
    </xf>
    <xf numFmtId="0" fontId="39" fillId="27" borderId="0" xfId="0" applyFont="1" applyFill="1" applyAlignment="1">
      <alignment vertical="center"/>
    </xf>
    <xf numFmtId="0" fontId="3" fillId="27" borderId="0" xfId="0" applyFont="1" applyFill="1" applyAlignment="1">
      <alignment horizontal="left" vertical="center"/>
    </xf>
    <xf numFmtId="0" fontId="15" fillId="19" borderId="0" xfId="0" applyFont="1" applyFill="1"/>
    <xf numFmtId="0" fontId="3" fillId="19" borderId="0" xfId="0" applyFont="1" applyFill="1"/>
    <xf numFmtId="0" fontId="3" fillId="19" borderId="0" xfId="0" applyFont="1" applyFill="1" applyAlignment="1">
      <alignment vertical="center"/>
    </xf>
    <xf numFmtId="0" fontId="19" fillId="19" borderId="0" xfId="0" applyFont="1" applyFill="1"/>
    <xf numFmtId="0" fontId="41" fillId="0" borderId="0" xfId="1" applyFont="1" applyAlignment="1">
      <alignment horizontal="center" vertical="center"/>
    </xf>
    <xf numFmtId="10" fontId="3" fillId="6" borderId="0" xfId="2" applyNumberFormat="1" applyFont="1" applyFill="1" applyBorder="1" applyAlignment="1">
      <alignment horizontal="center" vertical="center"/>
    </xf>
    <xf numFmtId="0" fontId="3" fillId="6" borderId="0" xfId="0" applyFont="1" applyFill="1" applyAlignment="1">
      <alignment horizontal="center" vertical="center" wrapText="1"/>
    </xf>
    <xf numFmtId="0" fontId="3" fillId="6" borderId="0" xfId="0" applyFont="1" applyFill="1" applyAlignment="1">
      <alignment horizontal="center" vertical="center"/>
    </xf>
    <xf numFmtId="0" fontId="39" fillId="20" borderId="0" xfId="0" applyFont="1" applyFill="1" applyAlignment="1">
      <alignment horizontal="left" vertical="center"/>
    </xf>
    <xf numFmtId="0" fontId="42" fillId="0" borderId="0" xfId="0" applyFont="1" applyAlignment="1">
      <alignment horizontal="right" vertical="center"/>
    </xf>
    <xf numFmtId="0" fontId="40" fillId="0" borderId="0" xfId="0" applyFont="1" applyAlignment="1">
      <alignment vertical="center"/>
    </xf>
    <xf numFmtId="0" fontId="27" fillId="0" borderId="0" xfId="0" applyFont="1" applyAlignment="1">
      <alignment vertical="center"/>
    </xf>
    <xf numFmtId="0" fontId="27" fillId="0" borderId="5" xfId="0" applyFont="1" applyBorder="1" applyAlignment="1">
      <alignment vertical="center"/>
    </xf>
    <xf numFmtId="0" fontId="27" fillId="0" borderId="0" xfId="0" applyFont="1"/>
    <xf numFmtId="0" fontId="33" fillId="0" borderId="0" xfId="0" applyFont="1" applyAlignment="1">
      <alignment horizontal="center" vertical="center"/>
    </xf>
    <xf numFmtId="0" fontId="27" fillId="0" borderId="0" xfId="0" applyFont="1" applyAlignment="1">
      <alignment horizontal="center"/>
    </xf>
    <xf numFmtId="0" fontId="27" fillId="0" borderId="0" xfId="0" applyFont="1" applyAlignment="1">
      <alignment horizontal="right" vertical="center"/>
    </xf>
    <xf numFmtId="9" fontId="3" fillId="6" borderId="1" xfId="2" applyFont="1" applyFill="1" applyBorder="1" applyAlignment="1">
      <alignment horizontal="center" vertical="center"/>
    </xf>
    <xf numFmtId="0" fontId="27" fillId="0" borderId="0" xfId="0" applyFont="1" applyAlignment="1">
      <alignment horizontal="center" vertical="center"/>
    </xf>
    <xf numFmtId="0" fontId="33" fillId="6" borderId="0" xfId="0" applyFont="1" applyFill="1" applyAlignment="1">
      <alignment horizontal="center" vertical="center"/>
    </xf>
    <xf numFmtId="0" fontId="33" fillId="0" borderId="0" xfId="0" applyFont="1" applyAlignment="1">
      <alignment horizontal="center"/>
    </xf>
    <xf numFmtId="9" fontId="3" fillId="27" borderId="1" xfId="2" applyFont="1" applyFill="1" applyBorder="1" applyAlignment="1">
      <alignment horizontal="center" vertical="center"/>
    </xf>
    <xf numFmtId="0" fontId="33" fillId="27" borderId="0" xfId="0" applyFont="1" applyFill="1" applyAlignment="1">
      <alignment horizontal="center" vertical="center"/>
    </xf>
    <xf numFmtId="0" fontId="43" fillId="0" borderId="0" xfId="0" applyFont="1" applyAlignment="1">
      <alignment horizontal="center"/>
    </xf>
    <xf numFmtId="0" fontId="43" fillId="0" borderId="0" xfId="0" applyFont="1" applyAlignment="1">
      <alignment horizontal="center" vertical="center"/>
    </xf>
    <xf numFmtId="0" fontId="44" fillId="0" borderId="0" xfId="0" applyFont="1" applyAlignment="1">
      <alignment horizontal="center" vertical="center"/>
    </xf>
    <xf numFmtId="0" fontId="3" fillId="20" borderId="0" xfId="0" applyFont="1" applyFill="1"/>
    <xf numFmtId="0" fontId="3" fillId="20" borderId="0" xfId="0" applyFont="1" applyFill="1" applyAlignment="1">
      <alignment horizontal="right"/>
    </xf>
    <xf numFmtId="0" fontId="15" fillId="0" borderId="0" xfId="0" applyFont="1"/>
    <xf numFmtId="0" fontId="5" fillId="0" borderId="0" xfId="0" applyFont="1" applyAlignment="1">
      <alignment vertical="center"/>
    </xf>
    <xf numFmtId="0" fontId="47" fillId="12" borderId="0" xfId="0" applyFont="1" applyFill="1" applyAlignment="1">
      <alignment horizontal="center" vertical="center"/>
    </xf>
    <xf numFmtId="0" fontId="15" fillId="0" borderId="0" xfId="0" applyFont="1" applyAlignment="1">
      <alignment horizontal="left" vertical="center" wrapText="1"/>
    </xf>
    <xf numFmtId="0" fontId="51" fillId="0" borderId="20" xfId="0" applyFont="1" applyBorder="1" applyAlignment="1">
      <alignment horizontal="center" vertical="center"/>
    </xf>
    <xf numFmtId="0" fontId="51" fillId="0" borderId="0" xfId="0" applyFont="1" applyAlignment="1">
      <alignment horizontal="left" vertical="center"/>
    </xf>
    <xf numFmtId="0" fontId="52" fillId="0" borderId="0" xfId="0" applyFont="1" applyAlignment="1">
      <alignment horizontal="left" vertical="center"/>
    </xf>
    <xf numFmtId="0" fontId="53" fillId="14" borderId="0" xfId="0" applyFont="1" applyFill="1" applyAlignment="1">
      <alignment horizontal="left" vertical="center"/>
    </xf>
    <xf numFmtId="0" fontId="46" fillId="12" borderId="0" xfId="0" applyFont="1" applyFill="1" applyAlignment="1">
      <alignment horizontal="left" vertical="center"/>
    </xf>
    <xf numFmtId="0" fontId="45" fillId="9" borderId="0" xfId="0" applyFont="1" applyFill="1"/>
    <xf numFmtId="0" fontId="45" fillId="9" borderId="0" xfId="0" applyFont="1" applyFill="1" applyAlignment="1">
      <alignment horizontal="center" vertical="center"/>
    </xf>
    <xf numFmtId="0" fontId="19" fillId="9" borderId="0" xfId="0" applyFont="1" applyFill="1"/>
    <xf numFmtId="0" fontId="48" fillId="14" borderId="0" xfId="0" applyFont="1" applyFill="1"/>
    <xf numFmtId="0" fontId="20" fillId="0" borderId="0" xfId="0" applyFont="1" applyAlignment="1">
      <alignment horizontal="right"/>
    </xf>
    <xf numFmtId="16" fontId="27" fillId="0" borderId="0" xfId="0" applyNumberFormat="1" applyFont="1"/>
    <xf numFmtId="0" fontId="20"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0" fontId="3" fillId="0" borderId="35" xfId="0" applyFont="1" applyBorder="1" applyAlignment="1">
      <alignment vertical="center"/>
    </xf>
    <xf numFmtId="0" fontId="3" fillId="0" borderId="21" xfId="0" applyFont="1" applyBorder="1" applyAlignment="1">
      <alignment vertical="center"/>
    </xf>
    <xf numFmtId="0" fontId="34" fillId="4" borderId="0" xfId="0" applyFont="1" applyFill="1" applyAlignment="1">
      <alignment horizontal="left" vertical="center"/>
    </xf>
    <xf numFmtId="0" fontId="27" fillId="4" borderId="0" xfId="0" applyFont="1" applyFill="1" applyAlignment="1">
      <alignment vertical="center"/>
    </xf>
    <xf numFmtId="165" fontId="3" fillId="6" borderId="1" xfId="2" applyNumberFormat="1" applyFont="1" applyFill="1" applyBorder="1" applyAlignment="1">
      <alignment horizontal="center"/>
    </xf>
    <xf numFmtId="165" fontId="27" fillId="28" borderId="1" xfId="2" applyNumberFormat="1" applyFont="1" applyFill="1" applyBorder="1" applyAlignment="1">
      <alignment horizontal="center"/>
    </xf>
    <xf numFmtId="10" fontId="3" fillId="18" borderId="1" xfId="2" applyNumberFormat="1" applyFont="1" applyFill="1" applyBorder="1" applyAlignment="1">
      <alignment horizontal="center" vertical="center"/>
    </xf>
    <xf numFmtId="2" fontId="3" fillId="18" borderId="35" xfId="3" applyNumberFormat="1" applyFont="1" applyFill="1" applyBorder="1" applyAlignment="1">
      <alignment horizontal="center"/>
    </xf>
    <xf numFmtId="2" fontId="3" fillId="18" borderId="1" xfId="3" applyNumberFormat="1" applyFont="1" applyFill="1" applyBorder="1" applyAlignment="1">
      <alignment horizontal="center"/>
    </xf>
    <xf numFmtId="2" fontId="3" fillId="18" borderId="17" xfId="3" applyNumberFormat="1" applyFont="1" applyFill="1" applyBorder="1" applyAlignment="1">
      <alignment horizontal="center"/>
    </xf>
    <xf numFmtId="10" fontId="3" fillId="18" borderId="35" xfId="2" applyNumberFormat="1" applyFont="1" applyFill="1" applyBorder="1" applyAlignment="1">
      <alignment horizontal="center"/>
    </xf>
    <xf numFmtId="10" fontId="3" fillId="18" borderId="1" xfId="2" applyNumberFormat="1" applyFont="1" applyFill="1" applyBorder="1" applyAlignment="1">
      <alignment horizontal="center"/>
    </xf>
    <xf numFmtId="10" fontId="3" fillId="18" borderId="17" xfId="2" applyNumberFormat="1" applyFont="1" applyFill="1" applyBorder="1" applyAlignment="1">
      <alignment horizontal="center"/>
    </xf>
    <xf numFmtId="10" fontId="25" fillId="0" borderId="0" xfId="2" applyNumberFormat="1" applyFont="1" applyAlignment="1">
      <alignment horizontal="right"/>
    </xf>
    <xf numFmtId="2" fontId="3" fillId="6" borderId="1" xfId="3" applyNumberFormat="1" applyFont="1" applyFill="1" applyBorder="1" applyAlignment="1">
      <alignment horizontal="center" vertical="center"/>
    </xf>
    <xf numFmtId="10" fontId="3" fillId="0" borderId="0" xfId="2" applyNumberFormat="1" applyFont="1" applyAlignment="1">
      <alignment vertical="center"/>
    </xf>
    <xf numFmtId="10" fontId="3" fillId="0" borderId="0" xfId="2" applyNumberFormat="1" applyFont="1" applyAlignment="1">
      <alignment horizontal="center" vertical="center"/>
    </xf>
    <xf numFmtId="10" fontId="3" fillId="6" borderId="1" xfId="2" applyNumberFormat="1" applyFont="1" applyFill="1" applyBorder="1" applyAlignment="1">
      <alignment horizontal="center"/>
    </xf>
    <xf numFmtId="10" fontId="27" fillId="28" borderId="1" xfId="2" applyNumberFormat="1" applyFont="1" applyFill="1" applyBorder="1" applyAlignment="1">
      <alignment horizontal="center"/>
    </xf>
    <xf numFmtId="10" fontId="3" fillId="6" borderId="1" xfId="2" applyNumberFormat="1" applyFont="1" applyFill="1" applyBorder="1" applyAlignment="1">
      <alignment horizontal="center" vertical="center"/>
    </xf>
    <xf numFmtId="10" fontId="3" fillId="0" borderId="0" xfId="2" applyNumberFormat="1" applyFont="1" applyAlignment="1">
      <alignment horizontal="center"/>
    </xf>
    <xf numFmtId="2" fontId="3" fillId="24" borderId="1" xfId="0" applyNumberFormat="1" applyFont="1" applyFill="1" applyBorder="1" applyAlignment="1">
      <alignment vertical="center"/>
    </xf>
    <xf numFmtId="2" fontId="5" fillId="17" borderId="10" xfId="3" applyNumberFormat="1" applyFont="1" applyFill="1" applyBorder="1" applyAlignment="1">
      <alignment horizontal="center" vertical="center"/>
    </xf>
    <xf numFmtId="2" fontId="3" fillId="24" borderId="17" xfId="0" applyNumberFormat="1" applyFont="1" applyFill="1" applyBorder="1" applyAlignment="1">
      <alignment vertical="center"/>
    </xf>
    <xf numFmtId="2" fontId="3" fillId="6" borderId="6" xfId="3" applyNumberFormat="1" applyFont="1" applyFill="1" applyBorder="1" applyAlignment="1">
      <alignment horizontal="center" vertical="center"/>
    </xf>
    <xf numFmtId="2" fontId="21" fillId="0" borderId="12" xfId="0" applyNumberFormat="1" applyFont="1" applyBorder="1" applyAlignment="1">
      <alignment vertical="center"/>
    </xf>
    <xf numFmtId="2" fontId="21" fillId="0" borderId="8" xfId="0" applyNumberFormat="1" applyFont="1" applyBorder="1" applyAlignment="1">
      <alignment vertical="center"/>
    </xf>
    <xf numFmtId="2" fontId="20" fillId="19" borderId="1" xfId="3" applyNumberFormat="1" applyFont="1" applyFill="1" applyBorder="1" applyAlignment="1">
      <alignment horizontal="center" vertical="center"/>
    </xf>
    <xf numFmtId="10" fontId="3" fillId="6" borderId="6" xfId="3" applyNumberFormat="1" applyFont="1" applyFill="1" applyBorder="1" applyAlignment="1">
      <alignment horizontal="center" vertical="center"/>
    </xf>
    <xf numFmtId="165" fontId="3" fillId="24" borderId="1" xfId="2" applyNumberFormat="1" applyFont="1" applyFill="1" applyBorder="1" applyAlignment="1">
      <alignment vertical="center"/>
    </xf>
    <xf numFmtId="10" fontId="5" fillId="17" borderId="1" xfId="2" applyNumberFormat="1" applyFont="1" applyFill="1" applyBorder="1" applyAlignment="1">
      <alignment horizontal="center" vertical="center"/>
    </xf>
    <xf numFmtId="10" fontId="3" fillId="6" borderId="17" xfId="2" applyNumberFormat="1" applyFont="1" applyFill="1" applyBorder="1" applyAlignment="1">
      <alignment horizontal="center" vertical="center"/>
    </xf>
    <xf numFmtId="1" fontId="3" fillId="6" borderId="1" xfId="3" applyNumberFormat="1" applyFont="1" applyFill="1" applyBorder="1" applyAlignment="1">
      <alignment horizontal="center" vertical="center"/>
    </xf>
    <xf numFmtId="10" fontId="21" fillId="0" borderId="12" xfId="3" applyNumberFormat="1" applyFont="1" applyFill="1" applyBorder="1" applyAlignment="1">
      <alignment vertical="center"/>
    </xf>
    <xf numFmtId="10" fontId="21" fillId="0" borderId="8" xfId="3" applyNumberFormat="1" applyFont="1" applyFill="1" applyBorder="1" applyAlignment="1">
      <alignment vertical="center"/>
    </xf>
    <xf numFmtId="10" fontId="3" fillId="18" borderId="10" xfId="2" applyNumberFormat="1" applyFont="1" applyFill="1" applyBorder="1" applyAlignment="1">
      <alignment horizontal="center" vertical="center"/>
    </xf>
    <xf numFmtId="10" fontId="3" fillId="24" borderId="1" xfId="2" applyNumberFormat="1" applyFont="1" applyFill="1" applyBorder="1" applyAlignment="1">
      <alignment horizontal="center" vertical="center"/>
    </xf>
    <xf numFmtId="0" fontId="16" fillId="0" borderId="0" xfId="0" applyFont="1" applyAlignment="1">
      <alignment horizontal="center" vertical="center"/>
    </xf>
    <xf numFmtId="10" fontId="20" fillId="19" borderId="1" xfId="2" applyNumberFormat="1" applyFont="1" applyFill="1" applyBorder="1" applyAlignment="1">
      <alignment horizontal="center" vertical="center"/>
    </xf>
    <xf numFmtId="0" fontId="3" fillId="29" borderId="0" xfId="0" applyFont="1" applyFill="1" applyAlignment="1">
      <alignment horizontal="center" vertical="center"/>
    </xf>
    <xf numFmtId="10" fontId="25" fillId="6" borderId="1" xfId="2" applyNumberFormat="1" applyFont="1" applyFill="1" applyBorder="1" applyAlignment="1">
      <alignment horizontal="center" vertical="center"/>
    </xf>
    <xf numFmtId="165" fontId="20" fillId="19" borderId="1" xfId="2" applyNumberFormat="1" applyFont="1" applyFill="1" applyBorder="1" applyAlignment="1">
      <alignment horizontal="center" vertical="center"/>
    </xf>
    <xf numFmtId="165" fontId="5" fillId="17" borderId="10" xfId="2" applyNumberFormat="1" applyFont="1" applyFill="1" applyBorder="1" applyAlignment="1">
      <alignment horizontal="center" vertical="center"/>
    </xf>
    <xf numFmtId="165" fontId="3" fillId="24" borderId="17" xfId="2" applyNumberFormat="1" applyFont="1" applyFill="1" applyBorder="1" applyAlignment="1">
      <alignment vertical="center"/>
    </xf>
    <xf numFmtId="165" fontId="21" fillId="0" borderId="12" xfId="2" applyNumberFormat="1" applyFont="1" applyFill="1" applyBorder="1" applyAlignment="1">
      <alignment vertical="center"/>
    </xf>
    <xf numFmtId="165" fontId="21" fillId="0" borderId="8" xfId="2" applyNumberFormat="1" applyFont="1" applyFill="1" applyBorder="1" applyAlignment="1">
      <alignment vertical="center"/>
    </xf>
    <xf numFmtId="10" fontId="21" fillId="0" borderId="12" xfId="2" applyNumberFormat="1" applyFont="1" applyFill="1" applyBorder="1" applyAlignment="1">
      <alignment vertical="center"/>
    </xf>
    <xf numFmtId="10" fontId="21" fillId="0" borderId="8" xfId="2" applyNumberFormat="1" applyFont="1" applyFill="1" applyBorder="1" applyAlignment="1">
      <alignment vertical="center"/>
    </xf>
    <xf numFmtId="10" fontId="3" fillId="0" borderId="0" xfId="2" applyNumberFormat="1" applyFont="1"/>
    <xf numFmtId="0" fontId="48" fillId="17" borderId="0" xfId="0" applyFont="1" applyFill="1"/>
    <xf numFmtId="0" fontId="48" fillId="16" borderId="0" xfId="0" applyFont="1" applyFill="1" applyAlignment="1">
      <alignment horizontal="left"/>
    </xf>
    <xf numFmtId="0" fontId="46" fillId="16" borderId="0" xfId="0" applyFont="1" applyFill="1" applyAlignment="1">
      <alignment horizontal="left" vertical="center"/>
    </xf>
    <xf numFmtId="0" fontId="47" fillId="16" borderId="0" xfId="0" applyFont="1" applyFill="1" applyAlignment="1">
      <alignment horizontal="center" vertical="center"/>
    </xf>
    <xf numFmtId="2" fontId="3" fillId="6" borderId="1" xfId="3" applyNumberFormat="1" applyFont="1" applyFill="1" applyBorder="1" applyAlignment="1">
      <alignment horizontal="center"/>
    </xf>
    <xf numFmtId="2" fontId="27" fillId="28" borderId="1" xfId="3" applyNumberFormat="1" applyFont="1" applyFill="1" applyBorder="1" applyAlignment="1">
      <alignment horizontal="center"/>
    </xf>
    <xf numFmtId="0" fontId="16" fillId="0" borderId="0" xfId="0" applyFont="1" applyAlignment="1">
      <alignment horizontal="left"/>
    </xf>
    <xf numFmtId="2" fontId="54" fillId="24" borderId="1" xfId="3" applyNumberFormat="1" applyFont="1" applyFill="1" applyBorder="1" applyAlignment="1">
      <alignment horizontal="center" vertical="center"/>
    </xf>
    <xf numFmtId="165" fontId="54" fillId="24" borderId="1" xfId="2" applyNumberFormat="1" applyFont="1" applyFill="1" applyBorder="1" applyAlignment="1">
      <alignment horizontal="center" vertical="center"/>
    </xf>
    <xf numFmtId="166" fontId="54" fillId="24" borderId="1" xfId="3" applyNumberFormat="1" applyFont="1" applyFill="1" applyBorder="1" applyAlignment="1">
      <alignment horizontal="center" vertical="center"/>
    </xf>
    <xf numFmtId="167" fontId="54" fillId="24" borderId="1" xfId="2" applyNumberFormat="1" applyFont="1" applyFill="1" applyBorder="1" applyAlignment="1">
      <alignment horizontal="center" vertical="center"/>
    </xf>
    <xf numFmtId="0" fontId="17" fillId="16" borderId="0" xfId="0" applyFont="1" applyFill="1" applyAlignment="1">
      <alignment horizontal="left" vertical="center"/>
    </xf>
    <xf numFmtId="0" fontId="17" fillId="16" borderId="0" xfId="0" applyFont="1" applyFill="1" applyAlignment="1">
      <alignment horizontal="center" vertical="center" wrapText="1"/>
    </xf>
    <xf numFmtId="0" fontId="17" fillId="16" borderId="0" xfId="0" applyFont="1" applyFill="1" applyAlignment="1">
      <alignment vertical="center"/>
    </xf>
    <xf numFmtId="2" fontId="21" fillId="0" borderId="12" xfId="0" applyNumberFormat="1" applyFont="1" applyBorder="1" applyAlignment="1">
      <alignment horizontal="center" vertical="center"/>
    </xf>
    <xf numFmtId="2" fontId="21" fillId="0" borderId="8" xfId="0" applyNumberFormat="1" applyFont="1" applyBorder="1" applyAlignment="1">
      <alignment horizontal="center" vertical="center"/>
    </xf>
    <xf numFmtId="2" fontId="3" fillId="6" borderId="1" xfId="2" applyNumberFormat="1" applyFont="1" applyFill="1" applyBorder="1" applyAlignment="1">
      <alignment horizontal="center" vertical="center"/>
    </xf>
    <xf numFmtId="2" fontId="27" fillId="18" borderId="1" xfId="0" applyNumberFormat="1" applyFont="1" applyFill="1" applyBorder="1" applyAlignment="1">
      <alignment horizontal="center"/>
    </xf>
    <xf numFmtId="0" fontId="5" fillId="20" borderId="0" xfId="0" applyFont="1" applyFill="1" applyAlignment="1">
      <alignment horizontal="right" vertical="center"/>
    </xf>
    <xf numFmtId="2" fontId="5" fillId="20" borderId="0" xfId="0" applyNumberFormat="1" applyFont="1" applyFill="1" applyAlignment="1">
      <alignment horizontal="center" vertical="center"/>
    </xf>
    <xf numFmtId="9" fontId="3" fillId="6" borderId="1" xfId="3" applyNumberFormat="1" applyFont="1" applyFill="1" applyBorder="1" applyAlignment="1">
      <alignment horizontal="center" vertical="center"/>
    </xf>
    <xf numFmtId="1" fontId="21" fillId="0" borderId="12" xfId="3" applyNumberFormat="1" applyFont="1" applyFill="1" applyBorder="1" applyAlignment="1">
      <alignment vertical="center"/>
    </xf>
    <xf numFmtId="1" fontId="21" fillId="0" borderId="8" xfId="3" applyNumberFormat="1" applyFont="1" applyFill="1" applyBorder="1" applyAlignment="1">
      <alignment vertical="center"/>
    </xf>
    <xf numFmtId="10" fontId="5" fillId="20" borderId="0" xfId="2" applyNumberFormat="1" applyFont="1" applyFill="1" applyAlignment="1">
      <alignment horizontal="center" vertical="center"/>
    </xf>
    <xf numFmtId="0" fontId="55" fillId="0" borderId="0" xfId="0" applyFont="1"/>
    <xf numFmtId="0" fontId="55" fillId="0" borderId="5" xfId="0" applyFont="1" applyBorder="1"/>
    <xf numFmtId="0" fontId="55" fillId="0" borderId="5" xfId="0" applyFont="1" applyBorder="1" applyAlignment="1">
      <alignment horizontal="center"/>
    </xf>
    <xf numFmtId="165" fontId="5" fillId="20" borderId="0" xfId="2" applyNumberFormat="1" applyFont="1" applyFill="1" applyAlignment="1">
      <alignment horizontal="center" vertical="center"/>
    </xf>
    <xf numFmtId="0" fontId="17" fillId="12" borderId="19" xfId="0" applyFont="1" applyFill="1" applyBorder="1" applyAlignment="1">
      <alignment horizontal="left" vertical="center"/>
    </xf>
    <xf numFmtId="2" fontId="24" fillId="0" borderId="11" xfId="2" applyNumberFormat="1" applyFont="1" applyBorder="1"/>
    <xf numFmtId="2" fontId="24" fillId="0" borderId="5" xfId="2" applyNumberFormat="1" applyFont="1" applyBorder="1" applyAlignment="1">
      <alignment vertical="center"/>
    </xf>
    <xf numFmtId="10" fontId="24" fillId="0" borderId="5" xfId="3" applyNumberFormat="1" applyFont="1" applyBorder="1" applyAlignment="1">
      <alignment vertical="center"/>
    </xf>
    <xf numFmtId="10" fontId="24" fillId="0" borderId="5" xfId="0" applyNumberFormat="1" applyFont="1" applyBorder="1" applyAlignment="1">
      <alignment vertical="center"/>
    </xf>
    <xf numFmtId="10" fontId="24" fillId="0" borderId="5" xfId="3" applyNumberFormat="1" applyFont="1" applyBorder="1"/>
    <xf numFmtId="10" fontId="3" fillId="6" borderId="6" xfId="2" applyNumberFormat="1" applyFont="1" applyFill="1" applyBorder="1" applyAlignment="1">
      <alignment horizontal="center" vertical="center"/>
    </xf>
    <xf numFmtId="0" fontId="56" fillId="0" borderId="0" xfId="0" applyFont="1"/>
    <xf numFmtId="0" fontId="56" fillId="20" borderId="5" xfId="0" applyFont="1" applyFill="1" applyBorder="1"/>
    <xf numFmtId="0" fontId="20" fillId="0" borderId="0" xfId="0" applyFont="1" applyAlignment="1">
      <alignment horizontal="left" vertical="top"/>
    </xf>
    <xf numFmtId="2" fontId="5" fillId="0" borderId="0" xfId="0" applyNumberFormat="1" applyFont="1" applyAlignment="1">
      <alignment horizontal="center"/>
    </xf>
    <xf numFmtId="0" fontId="5" fillId="0" borderId="0" xfId="0" applyFont="1" applyAlignment="1">
      <alignment horizontal="right"/>
    </xf>
    <xf numFmtId="10" fontId="5" fillId="0" borderId="0" xfId="2" applyNumberFormat="1" applyFont="1" applyAlignment="1">
      <alignment horizontal="center"/>
    </xf>
    <xf numFmtId="165" fontId="5" fillId="0" borderId="0" xfId="2" applyNumberFormat="1" applyFont="1" applyAlignment="1">
      <alignment horizontal="center"/>
    </xf>
    <xf numFmtId="0" fontId="5" fillId="16" borderId="0" xfId="0" applyFont="1" applyFill="1" applyAlignment="1">
      <alignment horizontal="left" wrapText="1"/>
    </xf>
    <xf numFmtId="0" fontId="19" fillId="0" borderId="0" xfId="0" applyFont="1"/>
    <xf numFmtId="43" fontId="5" fillId="20" borderId="0" xfId="2" applyNumberFormat="1" applyFont="1" applyFill="1" applyAlignment="1">
      <alignment horizontal="center" vertical="center"/>
    </xf>
    <xf numFmtId="10" fontId="21" fillId="0" borderId="0" xfId="2" applyNumberFormat="1" applyFont="1" applyBorder="1" applyAlignment="1">
      <alignment vertical="center"/>
    </xf>
    <xf numFmtId="10" fontId="21" fillId="0" borderId="0" xfId="2" applyNumberFormat="1" applyFont="1" applyFill="1" applyBorder="1" applyAlignment="1">
      <alignment vertical="center"/>
    </xf>
    <xf numFmtId="0" fontId="17" fillId="16" borderId="19" xfId="0" applyFont="1" applyFill="1" applyBorder="1" applyAlignment="1">
      <alignment horizontal="left" vertical="center"/>
    </xf>
    <xf numFmtId="2" fontId="3" fillId="0" borderId="0" xfId="0" applyNumberFormat="1" applyFont="1" applyAlignment="1">
      <alignment vertical="center"/>
    </xf>
    <xf numFmtId="0" fontId="5" fillId="0" borderId="5" xfId="0" applyFont="1" applyBorder="1"/>
    <xf numFmtId="10" fontId="3" fillId="0" borderId="0" xfId="0" applyNumberFormat="1" applyFont="1"/>
    <xf numFmtId="10" fontId="3" fillId="20" borderId="0" xfId="0" applyNumberFormat="1" applyFont="1" applyFill="1" applyAlignment="1">
      <alignment vertical="center"/>
    </xf>
    <xf numFmtId="0" fontId="20" fillId="0" borderId="0" xfId="0" applyFont="1" applyAlignment="1">
      <alignment vertical="top"/>
    </xf>
    <xf numFmtId="0" fontId="36" fillId="30" borderId="27" xfId="0" applyFont="1" applyFill="1" applyBorder="1" applyAlignment="1">
      <alignment horizontal="left" vertical="center" wrapText="1"/>
    </xf>
    <xf numFmtId="168" fontId="3" fillId="18" borderId="1" xfId="3"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165" fontId="3" fillId="18" borderId="35" xfId="2" applyNumberFormat="1" applyFont="1" applyFill="1" applyBorder="1" applyAlignment="1">
      <alignment horizontal="center"/>
    </xf>
    <xf numFmtId="165" fontId="3" fillId="18" borderId="17" xfId="2" applyNumberFormat="1" applyFont="1" applyFill="1" applyBorder="1" applyAlignment="1">
      <alignment horizontal="center"/>
    </xf>
    <xf numFmtId="168" fontId="3" fillId="6" borderId="1" xfId="3" applyNumberFormat="1" applyFont="1" applyFill="1" applyBorder="1" applyAlignment="1">
      <alignment horizontal="center" vertical="center"/>
    </xf>
    <xf numFmtId="49" fontId="3" fillId="18" borderId="17" xfId="3" applyNumberFormat="1" applyFont="1" applyFill="1" applyBorder="1" applyAlignment="1">
      <alignment horizontal="left"/>
    </xf>
    <xf numFmtId="0" fontId="57" fillId="0" borderId="0" xfId="0" applyFont="1"/>
    <xf numFmtId="0" fontId="57" fillId="10" borderId="0" xfId="0" applyFont="1" applyFill="1"/>
    <xf numFmtId="0" fontId="58" fillId="0" borderId="0" xfId="0" applyFont="1"/>
    <xf numFmtId="0" fontId="59" fillId="0" borderId="0" xfId="0" applyFont="1"/>
    <xf numFmtId="0" fontId="1" fillId="0" borderId="0" xfId="1" applyAlignment="1">
      <alignment horizontal="center" vertical="center"/>
    </xf>
    <xf numFmtId="0" fontId="1" fillId="0" borderId="0" xfId="1" applyAlignment="1">
      <alignment horizontal="left" vertical="center"/>
    </xf>
    <xf numFmtId="0" fontId="62" fillId="20" borderId="0" xfId="0" applyFont="1" applyFill="1" applyAlignment="1">
      <alignment horizontal="left" vertical="center"/>
    </xf>
    <xf numFmtId="0" fontId="12" fillId="20" borderId="4" xfId="0" applyFont="1" applyFill="1" applyBorder="1" applyAlignment="1">
      <alignment horizontal="center" vertical="center" wrapText="1"/>
    </xf>
    <xf numFmtId="0" fontId="10" fillId="20" borderId="5" xfId="1" applyFont="1" applyFill="1" applyBorder="1" applyAlignment="1">
      <alignment horizontal="center" vertical="center"/>
    </xf>
    <xf numFmtId="0" fontId="10" fillId="20" borderId="0" xfId="1" applyFont="1" applyFill="1" applyAlignment="1">
      <alignment horizontal="center" vertical="center"/>
    </xf>
    <xf numFmtId="0" fontId="63" fillId="0" borderId="8" xfId="0" applyFont="1" applyBorder="1" applyAlignment="1">
      <alignment horizontal="left" vertical="center"/>
    </xf>
    <xf numFmtId="0" fontId="64" fillId="9" borderId="0" xfId="1" applyFont="1" applyFill="1" applyAlignment="1">
      <alignment horizont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60" fillId="15" borderId="0" xfId="1" applyFont="1" applyFill="1" applyAlignment="1">
      <alignment horizontal="center" vertical="center"/>
    </xf>
    <xf numFmtId="0" fontId="64" fillId="9" borderId="36" xfId="1" applyFont="1" applyFill="1" applyBorder="1" applyAlignment="1">
      <alignment horizontal="center"/>
    </xf>
    <xf numFmtId="0" fontId="64" fillId="9" borderId="0" xfId="1" applyFont="1" applyFill="1" applyAlignment="1">
      <alignment horizontal="center"/>
    </xf>
    <xf numFmtId="0" fontId="20" fillId="0" borderId="0" xfId="0" applyFont="1" applyAlignment="1">
      <alignment horizontal="left" vertical="top" wrapText="1"/>
    </xf>
    <xf numFmtId="0" fontId="20" fillId="0" borderId="35" xfId="0" applyFont="1" applyBorder="1" applyAlignment="1">
      <alignment horizontal="center" vertical="center" wrapText="1"/>
    </xf>
    <xf numFmtId="0" fontId="20" fillId="0" borderId="1" xfId="0" applyFont="1" applyBorder="1" applyAlignment="1">
      <alignment horizontal="center" vertical="center" wrapText="1"/>
    </xf>
    <xf numFmtId="0" fontId="9" fillId="20" borderId="0" xfId="0" applyFont="1" applyFill="1" applyAlignment="1">
      <alignment horizontal="center" vertical="center"/>
    </xf>
    <xf numFmtId="0" fontId="9" fillId="20" borderId="0" xfId="0" applyFont="1" applyFill="1" applyAlignment="1">
      <alignment horizontal="center" vertical="center" wrapText="1"/>
    </xf>
    <xf numFmtId="0" fontId="42" fillId="0" borderId="0" xfId="0" applyFont="1" applyAlignment="1">
      <alignment horizontal="left" vertical="top" wrapText="1"/>
    </xf>
    <xf numFmtId="0" fontId="61" fillId="27" borderId="0" xfId="0" applyFont="1" applyFill="1" applyAlignment="1">
      <alignment horizontal="center" vertical="center"/>
    </xf>
    <xf numFmtId="0" fontId="49" fillId="25" borderId="30" xfId="0" applyFont="1" applyFill="1" applyBorder="1" applyAlignment="1">
      <alignment horizontal="center" vertical="center"/>
    </xf>
    <xf numFmtId="0" fontId="49" fillId="25" borderId="31" xfId="0" applyFont="1" applyFill="1" applyBorder="1" applyAlignment="1">
      <alignment horizontal="center" vertical="center"/>
    </xf>
    <xf numFmtId="0" fontId="49" fillId="25" borderId="32" xfId="0" applyFont="1" applyFill="1" applyBorder="1" applyAlignment="1">
      <alignment horizontal="center" vertical="center"/>
    </xf>
    <xf numFmtId="0" fontId="49" fillId="25" borderId="18" xfId="0" applyFont="1" applyFill="1" applyBorder="1" applyAlignment="1">
      <alignment horizontal="center" vertical="center"/>
    </xf>
    <xf numFmtId="0" fontId="49" fillId="25" borderId="33" xfId="0" applyFont="1" applyFill="1" applyBorder="1" applyAlignment="1">
      <alignment horizontal="center" vertical="center"/>
    </xf>
    <xf numFmtId="0" fontId="49" fillId="25" borderId="34" xfId="0" applyFont="1" applyFill="1" applyBorder="1" applyAlignment="1">
      <alignment horizontal="center" vertical="center"/>
    </xf>
    <xf numFmtId="0" fontId="50" fillId="11" borderId="10" xfId="0" applyFont="1" applyFill="1" applyBorder="1" applyAlignment="1">
      <alignment horizontal="center" vertical="center" textRotation="90" wrapText="1"/>
    </xf>
    <xf numFmtId="0" fontId="50" fillId="11" borderId="23" xfId="0" applyFont="1" applyFill="1" applyBorder="1" applyAlignment="1">
      <alignment horizontal="center" vertical="center" textRotation="90" wrapText="1"/>
    </xf>
    <xf numFmtId="0" fontId="50" fillId="11" borderId="9" xfId="0" applyFont="1" applyFill="1" applyBorder="1" applyAlignment="1">
      <alignment horizontal="center" vertical="center" textRotation="90" wrapText="1"/>
    </xf>
    <xf numFmtId="0" fontId="49" fillId="17" borderId="10" xfId="0" applyFont="1" applyFill="1" applyBorder="1" applyAlignment="1">
      <alignment horizontal="center" vertical="center" textRotation="90" wrapText="1"/>
    </xf>
    <xf numFmtId="0" fontId="49" fillId="17" borderId="23" xfId="0" applyFont="1" applyFill="1" applyBorder="1" applyAlignment="1">
      <alignment horizontal="center" vertical="center" textRotation="90" wrapText="1"/>
    </xf>
    <xf numFmtId="0" fontId="49" fillId="17" borderId="9" xfId="0" applyFont="1" applyFill="1" applyBorder="1" applyAlignment="1">
      <alignment horizontal="center" vertical="center" textRotation="90" wrapText="1"/>
    </xf>
    <xf numFmtId="0" fontId="13" fillId="15" borderId="0" xfId="1" applyFont="1" applyFill="1" applyAlignment="1">
      <alignment horizontal="center" vertical="center"/>
    </xf>
    <xf numFmtId="0" fontId="48" fillId="12" borderId="0" xfId="0" applyFont="1" applyFill="1" applyAlignment="1">
      <alignment horizontal="left" wrapText="1"/>
    </xf>
    <xf numFmtId="0" fontId="3" fillId="18" borderId="19" xfId="0" applyFont="1" applyFill="1" applyBorder="1" applyAlignment="1">
      <alignment horizontal="center" vertical="center"/>
    </xf>
    <xf numFmtId="0" fontId="3" fillId="18" borderId="0" xfId="0" applyFont="1" applyFill="1" applyAlignment="1">
      <alignment horizontal="center" vertical="center"/>
    </xf>
    <xf numFmtId="0" fontId="27" fillId="6" borderId="0" xfId="0" applyFont="1" applyFill="1" applyAlignment="1">
      <alignment horizontal="center"/>
    </xf>
    <xf numFmtId="0" fontId="3" fillId="6" borderId="1" xfId="3" applyNumberFormat="1" applyFont="1" applyFill="1" applyBorder="1" applyAlignment="1">
      <alignment horizontal="right"/>
    </xf>
    <xf numFmtId="0" fontId="3" fillId="0" borderId="0" xfId="0" applyFont="1" applyAlignment="1">
      <alignment horizontal="center" vertical="center"/>
    </xf>
    <xf numFmtId="0" fontId="46" fillId="12" borderId="0" xfId="0" applyFont="1" applyFill="1" applyAlignment="1">
      <alignment horizontal="center" vertical="center" textRotation="90"/>
    </xf>
    <xf numFmtId="0" fontId="46" fillId="16" borderId="0" xfId="0" applyFont="1" applyFill="1" applyAlignment="1">
      <alignment horizontal="center" vertical="center" textRotation="90"/>
    </xf>
  </cellXfs>
  <cellStyles count="4">
    <cellStyle name="Comma" xfId="3" builtinId="3"/>
    <cellStyle name="Hyperlink" xfId="1" builtinId="8"/>
    <cellStyle name="Normal" xfId="0" builtinId="0"/>
    <cellStyle name="Percent" xfId="2" builtinId="5"/>
  </cellStyles>
  <dxfs count="51">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rgb="FF92D050"/>
        </patternFill>
      </fill>
    </dxf>
    <dxf>
      <font>
        <color theme="0"/>
      </font>
      <fill>
        <patternFill>
          <bgColor rgb="FFC00000"/>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8" tint="0.79998168889431442"/>
        </patternFill>
      </fill>
    </dxf>
    <dxf>
      <fill>
        <patternFill>
          <bgColor theme="7" tint="0.79998168889431442"/>
        </patternFill>
      </fill>
    </dxf>
    <dxf>
      <fill>
        <patternFill>
          <bgColor theme="8" tint="0.79998168889431442"/>
        </patternFill>
      </fill>
    </dxf>
    <dxf>
      <border>
        <left style="thin">
          <color rgb="FF00FF00"/>
        </left>
        <right style="thin">
          <color rgb="FF00FF00"/>
        </right>
        <top style="thin">
          <color rgb="FF00FF00"/>
        </top>
        <bottom style="thin">
          <color rgb="FF00FF00"/>
        </bottom>
        <vertical/>
        <horizontal/>
      </border>
    </dxf>
    <dxf>
      <fill>
        <patternFill>
          <bgColor theme="7" tint="0.79998168889431442"/>
        </patternFill>
      </fill>
    </dxf>
    <dxf>
      <fill>
        <patternFill>
          <bgColor theme="0" tint="-0.499984740745262"/>
        </patternFill>
      </fill>
    </dxf>
    <dxf>
      <fill>
        <patternFill>
          <bgColor theme="0" tint="-0.499984740745262"/>
        </patternFill>
      </fill>
    </dxf>
    <dxf>
      <font>
        <color theme="8"/>
      </font>
    </dxf>
    <dxf>
      <fill>
        <patternFill>
          <bgColor theme="5"/>
        </patternFill>
      </fill>
    </dxf>
    <dxf>
      <fill>
        <patternFill>
          <bgColor theme="5"/>
        </patternFill>
      </fill>
    </dxf>
    <dxf>
      <font>
        <color theme="8"/>
      </font>
    </dxf>
    <dxf>
      <fill>
        <patternFill>
          <bgColor theme="8"/>
        </patternFill>
      </fill>
    </dxf>
  </dxfs>
  <tableStyles count="0" defaultTableStyle="TableStyleMedium2" defaultPivotStyle="PivotStyleLight16"/>
  <colors>
    <mruColors>
      <color rgb="FFFFCCFF"/>
      <color rgb="FF00FF00"/>
      <color rgb="FFFFEEE7"/>
      <color rgb="FFFFFAEB"/>
      <color rgb="FFF3F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717877951548602E-2"/>
          <c:y val="3.9118110236220478E-2"/>
          <c:w val="0.96028212204845143"/>
          <c:h val="0.75135540934095568"/>
        </c:manualLayout>
      </c:layout>
      <c:lineChart>
        <c:grouping val="standard"/>
        <c:varyColors val="0"/>
        <c:ser>
          <c:idx val="0"/>
          <c:order val="0"/>
          <c:tx>
            <c:strRef>
              <c:f>'KOM_KS (p)'!$F$10</c:f>
              <c:strCache>
                <c:ptCount val="1"/>
                <c:pt idx="0">
                  <c:v>Discretionary target setting</c:v>
                </c:pt>
              </c:strCache>
            </c:strRef>
          </c:tx>
          <c:spPr>
            <a:ln w="12700" cap="rnd">
              <a:solidFill>
                <a:schemeClr val="accent2"/>
              </a:solidFill>
              <a:round/>
            </a:ln>
            <a:effectLst/>
          </c:spPr>
          <c:marker>
            <c:symbol val="square"/>
            <c:size val="5"/>
            <c:spPr>
              <a:noFill/>
              <a:ln w="9525">
                <a:solidFill>
                  <a:schemeClr val="accent2"/>
                </a:solidFill>
              </a:ln>
              <a:effectLst/>
            </c:spPr>
          </c:marker>
          <c:dPt>
            <c:idx val="0"/>
            <c:marker>
              <c:symbol val="square"/>
              <c:size val="5"/>
              <c:spPr>
                <a:noFill/>
                <a:ln w="9525">
                  <a:solidFill>
                    <a:schemeClr val="accent5"/>
                  </a:solidFill>
                </a:ln>
                <a:effectLst/>
              </c:spPr>
            </c:marker>
            <c:bubble3D val="0"/>
            <c:extLst>
              <c:ext xmlns:c16="http://schemas.microsoft.com/office/drawing/2014/chart" uri="{C3380CC4-5D6E-409C-BE32-E72D297353CC}">
                <c16:uniqueId val="{00000005-650C-4550-89ED-71CA70CA8894}"/>
              </c:ext>
            </c:extLst>
          </c:dPt>
          <c:dPt>
            <c:idx val="3"/>
            <c:marker>
              <c:symbol val="square"/>
              <c:size val="5"/>
              <c:spPr>
                <a:noFill/>
                <a:ln w="9525">
                  <a:solidFill>
                    <a:schemeClr val="accent2"/>
                  </a:solidFill>
                </a:ln>
                <a:effectLst/>
              </c:spPr>
            </c:marker>
            <c:bubble3D val="0"/>
            <c:extLst>
              <c:ext xmlns:c16="http://schemas.microsoft.com/office/drawing/2014/chart" uri="{C3380CC4-5D6E-409C-BE32-E72D297353CC}">
                <c16:uniqueId val="{00000009-AD17-4A6A-B6D8-E060FFDE1EBE}"/>
              </c:ext>
            </c:extLst>
          </c:dPt>
          <c:dLbls>
            <c:dLbl>
              <c:idx val="0"/>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650C-4550-89ED-71CA70CA8894}"/>
                </c:ext>
              </c:extLst>
            </c:dLbl>
            <c:dLbl>
              <c:idx val="1"/>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AD17-4A6A-B6D8-E060FFDE1EBE}"/>
                </c:ext>
              </c:extLst>
            </c:dLbl>
            <c:dLbl>
              <c:idx val="2"/>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8-AD17-4A6A-B6D8-E060FFDE1EBE}"/>
                </c:ext>
              </c:extLst>
            </c:dLbl>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9-AD17-4A6A-B6D8-E060FFDE1EBE}"/>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AD17-4A6A-B6D8-E060FFDE1EBE}"/>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AD17-4A6A-B6D8-E060FFDE1EBE}"/>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AD17-4A6A-B6D8-E060FFDE1EBE}"/>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AD17-4A6A-B6D8-E060FFDE1EBE}"/>
                </c:ext>
              </c:extLst>
            </c:dLbl>
            <c:dLbl>
              <c:idx val="8"/>
              <c:delete val="1"/>
              <c:extLst>
                <c:ext xmlns:c15="http://schemas.microsoft.com/office/drawing/2012/chart" uri="{CE6537A1-D6FC-4f65-9D91-7224C49458BB}"/>
                <c:ext xmlns:c16="http://schemas.microsoft.com/office/drawing/2014/chart" uri="{C3380CC4-5D6E-409C-BE32-E72D297353CC}">
                  <c16:uniqueId val="{00000007-FAD5-423B-80F2-DA9333EA2CA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(p)'!$G$10:$O$10</c:f>
              <c:numCache>
                <c:formatCode>0.00</c:formatCode>
                <c:ptCount val="9"/>
                <c:pt idx="0">
                  <c:v>0</c:v>
                </c:pt>
                <c:pt idx="1">
                  <c:v>0</c:v>
                </c:pt>
                <c:pt idx="2">
                  <c:v>0</c:v>
                </c:pt>
                <c:pt idx="3">
                  <c:v>0</c:v>
                </c:pt>
                <c:pt idx="8">
                  <c:v>0</c:v>
                </c:pt>
              </c:numCache>
            </c:numRef>
          </c:val>
          <c:smooth val="0"/>
          <c:extLst>
            <c:ext xmlns:c16="http://schemas.microsoft.com/office/drawing/2014/chart" uri="{C3380CC4-5D6E-409C-BE32-E72D297353CC}">
              <c16:uniqueId val="{00000000-650C-4550-89ED-71CA70CA8894}"/>
            </c:ext>
          </c:extLst>
        </c:ser>
        <c:ser>
          <c:idx val="1"/>
          <c:order val="1"/>
          <c:tx>
            <c:strRef>
              <c:f>'KOM_KS (p)'!$F$11</c:f>
              <c:strCache>
                <c:ptCount val="1"/>
                <c:pt idx="0">
                  <c:v>Linear/stepped approach </c:v>
                </c:pt>
              </c:strCache>
            </c:strRef>
          </c:tx>
          <c:spPr>
            <a:ln w="12700" cap="rnd">
              <a:solidFill>
                <a:schemeClr val="accent2"/>
              </a:solidFill>
              <a:prstDash val="sysDash"/>
              <a:round/>
            </a:ln>
            <a:effectLst/>
          </c:spPr>
          <c:marker>
            <c:symbol val="square"/>
            <c:size val="5"/>
            <c:spPr>
              <a:solidFill>
                <a:schemeClr val="accent2"/>
              </a:solidFill>
              <a:ln w="9525">
                <a:no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A-AD17-4A6A-B6D8-E060FFDE1EBE}"/>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A-AD17-4A6A-B6D8-E060FFDE1EBE}"/>
                </c:ext>
              </c:extLst>
            </c:dLbl>
            <c:dLbl>
              <c:idx val="8"/>
              <c:delete val="1"/>
              <c:extLst>
                <c:ext xmlns:c15="http://schemas.microsoft.com/office/drawing/2012/chart" uri="{CE6537A1-D6FC-4f65-9D91-7224C49458BB}"/>
                <c:ext xmlns:c16="http://schemas.microsoft.com/office/drawing/2014/chart" uri="{C3380CC4-5D6E-409C-BE32-E72D297353CC}">
                  <c16:uniqueId val="{00000006-FAD5-423B-80F2-DA9333EA2CA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(p)'!$G$11:$O$11</c:f>
              <c:numCache>
                <c:formatCode>0.00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2-650C-4550-89ED-71CA70CA8894}"/>
            </c:ext>
          </c:extLst>
        </c:ser>
        <c:ser>
          <c:idx val="2"/>
          <c:order val="2"/>
          <c:tx>
            <c:strRef>
              <c:f>'KOM_KS (p)'!$F$12</c:f>
              <c:strCache>
                <c:ptCount val="1"/>
                <c:pt idx="0">
                  <c:v>Benchmark value CY+5</c:v>
                </c:pt>
              </c:strCache>
            </c:strRef>
          </c:tx>
          <c:spPr>
            <a:ln w="28575" cap="rnd">
              <a:noFill/>
              <a:round/>
            </a:ln>
            <a:effectLst/>
          </c:spPr>
          <c:marker>
            <c:symbol val="square"/>
            <c:size val="5"/>
            <c:spPr>
              <a:solidFill>
                <a:schemeClr val="accent3"/>
              </a:solidFill>
              <a:ln w="9525">
                <a:noFill/>
              </a:ln>
              <a:effectLst/>
            </c:spPr>
          </c:marker>
          <c:dPt>
            <c:idx val="8"/>
            <c:marker>
              <c:symbol val="square"/>
              <c:size val="5"/>
              <c:spPr>
                <a:solidFill>
                  <a:schemeClr val="tx1">
                    <a:lumMod val="75000"/>
                    <a:lumOff val="25000"/>
                  </a:schemeClr>
                </a:solidFill>
                <a:ln w="9525">
                  <a:noFill/>
                </a:ln>
                <a:effectLst/>
              </c:spPr>
            </c:marker>
            <c:bubble3D val="0"/>
            <c:spPr>
              <a:ln w="28575" cap="rnd">
                <a:noFill/>
                <a:round/>
              </a:ln>
              <a:effectLst/>
            </c:spPr>
            <c:extLst>
              <c:ext xmlns:c16="http://schemas.microsoft.com/office/drawing/2014/chart" uri="{C3380CC4-5D6E-409C-BE32-E72D297353CC}">
                <c16:uniqueId val="{0000000B-AD17-4A6A-B6D8-E060FFDE1EBE}"/>
              </c:ext>
            </c:extLst>
          </c:dPt>
          <c:dLbls>
            <c:dLbl>
              <c:idx val="8"/>
              <c:numFmt formatCode="#,##0.00" sourceLinked="0"/>
              <c:spPr>
                <a:noFill/>
                <a:ln>
                  <a:noFill/>
                </a:ln>
                <a:effectLst/>
              </c:spPr>
              <c:txPr>
                <a:bodyPr rot="0" spcFirstLastPara="1" vertOverflow="ellipsis" vert="horz" wrap="square" anchor="ctr" anchorCtr="1"/>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0B-AD17-4A6A-B6D8-E060FFDE1EBE}"/>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(p)'!$G$12:$O$12</c:f>
              <c:numCache>
                <c:formatCode>0.00</c:formatCode>
                <c:ptCount val="9"/>
                <c:pt idx="8">
                  <c:v>0</c:v>
                </c:pt>
              </c:numCache>
            </c:numRef>
          </c:val>
          <c:smooth val="0"/>
          <c:extLst>
            <c:ext xmlns:c16="http://schemas.microsoft.com/office/drawing/2014/chart" uri="{C3380CC4-5D6E-409C-BE32-E72D297353CC}">
              <c16:uniqueId val="{00000003-650C-4550-89ED-71CA70CA8894}"/>
            </c:ext>
          </c:extLst>
        </c:ser>
        <c:ser>
          <c:idx val="3"/>
          <c:order val="3"/>
          <c:tx>
            <c:strRef>
              <c:f>'KOM_KS (p)'!$F$13</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(p)'!$G$13:$O$13</c:f>
              <c:numCache>
                <c:formatCode>0.00</c:formatCode>
                <c:ptCount val="9"/>
                <c:pt idx="8">
                  <c:v>0</c:v>
                </c:pt>
              </c:numCache>
            </c:numRef>
          </c:val>
          <c:smooth val="0"/>
          <c:extLst>
            <c:ext xmlns:c16="http://schemas.microsoft.com/office/drawing/2014/chart" uri="{C3380CC4-5D6E-409C-BE32-E72D297353CC}">
              <c16:uniqueId val="{00000004-650C-4550-89ED-71CA70CA8894}"/>
            </c:ext>
          </c:extLst>
        </c:ser>
        <c:ser>
          <c:idx val="4"/>
          <c:order val="4"/>
          <c:tx>
            <c:strRef>
              <c:f>'KOM_KS (p)'!$F$14</c:f>
              <c:strCache>
                <c:ptCount val="1"/>
                <c:pt idx="0">
                  <c:v>Acceptable deviation upper bracket according to CSCC guidelines</c:v>
                </c:pt>
              </c:strCache>
            </c:strRef>
          </c:tx>
          <c:spPr>
            <a:ln w="28575" cap="rnd">
              <a:noFill/>
              <a:round/>
            </a:ln>
            <a:effectLst/>
          </c:spPr>
          <c:marker>
            <c:symbol val="circle"/>
            <c:size val="5"/>
            <c:spPr>
              <a:solidFill>
                <a:schemeClr val="accent5"/>
              </a:solidFill>
              <a:ln w="9525">
                <a:solidFill>
                  <a:schemeClr val="accent5"/>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(p)'!$G$14:$O$14</c:f>
              <c:numCache>
                <c:formatCode>0.00</c:formatCode>
                <c:ptCount val="9"/>
                <c:pt idx="8">
                  <c:v>0</c:v>
                </c:pt>
              </c:numCache>
            </c:numRef>
          </c:val>
          <c:smooth val="0"/>
          <c:extLst>
            <c:ext xmlns:c16="http://schemas.microsoft.com/office/drawing/2014/chart" uri="{C3380CC4-5D6E-409C-BE32-E72D297353CC}">
              <c16:uniqueId val="{00000001-9590-449C-A60E-AD803EA24B23}"/>
            </c:ext>
          </c:extLst>
        </c:ser>
        <c:dLbls>
          <c:showLegendKey val="0"/>
          <c:showVal val="0"/>
          <c:showCatName val="0"/>
          <c:showSerName val="0"/>
          <c:showPercent val="0"/>
          <c:showBubbleSize val="0"/>
        </c:dLbls>
        <c:marker val="1"/>
        <c:smooth val="0"/>
        <c:axId val="1177901008"/>
        <c:axId val="762762320"/>
      </c:lineChart>
      <c:catAx>
        <c:axId val="11779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7252694783015139"/>
          <c:w val="1"/>
          <c:h val="0.1238200841333189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82521234661172E-2"/>
          <c:y val="2.4506238090101752E-2"/>
          <c:w val="0.91946515060425349"/>
          <c:h val="0.82088822751322754"/>
        </c:manualLayout>
      </c:layout>
      <c:lineChart>
        <c:grouping val="standard"/>
        <c:varyColors val="0"/>
        <c:ser>
          <c:idx val="0"/>
          <c:order val="0"/>
          <c:tx>
            <c:strRef>
              <c:f>'COM_DP (f)'!$F$10</c:f>
              <c:strCache>
                <c:ptCount val="1"/>
                <c:pt idx="0">
                  <c:v>Discretionary target setting</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E16D-4821-B81A-E8E1054C9A78}"/>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E16D-4821-B81A-E8E1054C9A78}"/>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E16D-4821-B81A-E8E1054C9A78}"/>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E16D-4821-B81A-E8E1054C9A78}"/>
                </c:ext>
              </c:extLst>
            </c:dLbl>
            <c:dLbl>
              <c:idx val="8"/>
              <c:delete val="1"/>
              <c:extLst>
                <c:ext xmlns:c15="http://schemas.microsoft.com/office/drawing/2012/chart" uri="{CE6537A1-D6FC-4f65-9D91-7224C49458BB}"/>
                <c:ext xmlns:c16="http://schemas.microsoft.com/office/drawing/2014/chart" uri="{C3380CC4-5D6E-409C-BE32-E72D297353CC}">
                  <c16:uniqueId val="{00000004-E16D-4821-B81A-E8E1054C9A78}"/>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(f)'!$G$10:$O$10</c:f>
              <c:numCache>
                <c:formatCode>0.0%</c:formatCode>
                <c:ptCount val="9"/>
                <c:pt idx="0">
                  <c:v>0</c:v>
                </c:pt>
                <c:pt idx="1">
                  <c:v>0</c:v>
                </c:pt>
                <c:pt idx="2">
                  <c:v>0</c:v>
                </c:pt>
                <c:pt idx="3">
                  <c:v>0</c:v>
                </c:pt>
                <c:pt idx="8">
                  <c:v>0</c:v>
                </c:pt>
              </c:numCache>
            </c:numRef>
          </c:val>
          <c:smooth val="0"/>
          <c:extLst>
            <c:ext xmlns:c16="http://schemas.microsoft.com/office/drawing/2014/chart" uri="{C3380CC4-5D6E-409C-BE32-E72D297353CC}">
              <c16:uniqueId val="{00000005-E16D-4821-B81A-E8E1054C9A78}"/>
            </c:ext>
          </c:extLst>
        </c:ser>
        <c:ser>
          <c:idx val="1"/>
          <c:order val="1"/>
          <c:tx>
            <c:strRef>
              <c:f>'COM_DP (f)'!$F$11</c:f>
              <c:strCache>
                <c:ptCount val="1"/>
                <c:pt idx="0">
                  <c:v>Linear/stepped approach - Dividend payout ratio</c:v>
                </c:pt>
              </c:strCache>
            </c:strRef>
          </c:tx>
          <c:spPr>
            <a:ln w="12700" cap="rnd">
              <a:solidFill>
                <a:schemeClr val="accent2"/>
              </a:solidFill>
              <a:prstDash val="sysDash"/>
              <a:round/>
            </a:ln>
            <a:effectLst/>
          </c:spPr>
          <c:marker>
            <c:symbol val="square"/>
            <c:size val="5"/>
            <c:spPr>
              <a:solidFill>
                <a:schemeClr val="accent2"/>
              </a:solidFill>
              <a:ln w="9525">
                <a:noFill/>
              </a:ln>
              <a:effectLst/>
            </c:spPr>
          </c:marker>
          <c:dPt>
            <c:idx val="3"/>
            <c:marker>
              <c:symbol val="x"/>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6-E16D-4821-B81A-E8E1054C9A78}"/>
              </c:ext>
            </c:extLst>
          </c:dPt>
          <c:dLbls>
            <c:dLbl>
              <c:idx val="3"/>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E16D-4821-B81A-E8E1054C9A78}"/>
                </c:ext>
              </c:extLst>
            </c:dLbl>
            <c:dLbl>
              <c:idx val="8"/>
              <c:delete val="1"/>
              <c:extLst>
                <c:ext xmlns:c15="http://schemas.microsoft.com/office/drawing/2012/chart" uri="{CE6537A1-D6FC-4f65-9D91-7224C49458BB}"/>
                <c:ext xmlns:c16="http://schemas.microsoft.com/office/drawing/2014/chart" uri="{C3380CC4-5D6E-409C-BE32-E72D297353CC}">
                  <c16:uniqueId val="{00000007-E16D-4821-B81A-E8E1054C9A7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(f)'!$G$11:$O$11</c:f>
              <c:numCache>
                <c:formatCode>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8-E16D-4821-B81A-E8E1054C9A78}"/>
            </c:ext>
          </c:extLst>
        </c:ser>
        <c:ser>
          <c:idx val="2"/>
          <c:order val="2"/>
          <c:tx>
            <c:strRef>
              <c:f>'COM_DP (f)'!$F$12</c:f>
              <c:strCache>
                <c:ptCount val="1"/>
                <c:pt idx="0">
                  <c:v>Benchmark value CY+5</c:v>
                </c:pt>
              </c:strCache>
            </c:strRef>
          </c:tx>
          <c:spPr>
            <a:ln w="28575" cap="rnd">
              <a:noFill/>
              <a:round/>
            </a:ln>
            <a:effectLst/>
          </c:spPr>
          <c:marker>
            <c:symbol val="square"/>
            <c:size val="5"/>
            <c:spPr>
              <a:solidFill>
                <a:schemeClr val="tx1">
                  <a:lumMod val="75000"/>
                  <a:lumOff val="25000"/>
                </a:schemeClr>
              </a:solidFill>
              <a:ln w="9525">
                <a:noFill/>
              </a:ln>
              <a:effectLst/>
            </c:spPr>
          </c:marker>
          <c:dLbls>
            <c:numFmt formatCode="0.0%" sourceLinked="0"/>
            <c:spPr>
              <a:noFill/>
              <a:ln>
                <a:noFill/>
              </a:ln>
              <a:effectLst/>
            </c:spPr>
            <c:txPr>
              <a:bodyPr rot="0" spcFirstLastPara="1" vertOverflow="ellipsis" vert="horz" wrap="square" anchor="ctr" anchorCtr="1"/>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(f)'!$G$12:$O$12</c:f>
              <c:numCache>
                <c:formatCode>0.0%</c:formatCode>
                <c:ptCount val="9"/>
                <c:pt idx="8">
                  <c:v>0</c:v>
                </c:pt>
              </c:numCache>
            </c:numRef>
          </c:val>
          <c:smooth val="0"/>
          <c:extLst>
            <c:ext xmlns:c16="http://schemas.microsoft.com/office/drawing/2014/chart" uri="{C3380CC4-5D6E-409C-BE32-E72D297353CC}">
              <c16:uniqueId val="{00000009-E16D-4821-B81A-E8E1054C9A78}"/>
            </c:ext>
          </c:extLst>
        </c:ser>
        <c:ser>
          <c:idx val="4"/>
          <c:order val="3"/>
          <c:tx>
            <c:strRef>
              <c:f>'COM_DP (f)'!$F$14</c:f>
              <c:strCache>
                <c:ptCount val="1"/>
                <c:pt idx="0">
                  <c:v>Acceptable deviation upper bracket according to CSCC guidelines</c:v>
                </c:pt>
              </c:strCache>
            </c:strRef>
          </c:tx>
          <c:spPr>
            <a:ln w="28575" cap="rnd">
              <a:noFill/>
              <a:round/>
            </a:ln>
            <a:effectLst/>
          </c:spPr>
          <c:marker>
            <c:symbol val="circle"/>
            <c:size val="5"/>
            <c:spPr>
              <a:solidFill>
                <a:schemeClr val="accent5"/>
              </a:solidFill>
              <a:ln w="9525">
                <a:solidFill>
                  <a:schemeClr val="accent5"/>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(f)'!$G$14:$O$14</c:f>
              <c:numCache>
                <c:formatCode>0.0%</c:formatCode>
                <c:ptCount val="9"/>
                <c:pt idx="8">
                  <c:v>0</c:v>
                </c:pt>
              </c:numCache>
            </c:numRef>
          </c:val>
          <c:smooth val="0"/>
          <c:extLst>
            <c:ext xmlns:c16="http://schemas.microsoft.com/office/drawing/2014/chart" uri="{C3380CC4-5D6E-409C-BE32-E72D297353CC}">
              <c16:uniqueId val="{0000000A-E16D-4821-B81A-E8E1054C9A78}"/>
            </c:ext>
          </c:extLst>
        </c:ser>
        <c:ser>
          <c:idx val="3"/>
          <c:order val="4"/>
          <c:tx>
            <c:strRef>
              <c:f>'COM_DP (f)'!$F$13</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(f)'!$G$13:$O$13</c:f>
              <c:numCache>
                <c:formatCode>0.0%</c:formatCode>
                <c:ptCount val="9"/>
                <c:pt idx="8" formatCode="0.00%">
                  <c:v>0</c:v>
                </c:pt>
              </c:numCache>
            </c:numRef>
          </c:val>
          <c:smooth val="0"/>
          <c:extLst>
            <c:ext xmlns:c16="http://schemas.microsoft.com/office/drawing/2014/chart" uri="{C3380CC4-5D6E-409C-BE32-E72D297353CC}">
              <c16:uniqueId val="{0000000B-E16D-4821-B81A-E8E1054C9A78}"/>
            </c:ext>
          </c:extLst>
        </c:ser>
        <c:dLbls>
          <c:showLegendKey val="0"/>
          <c:showVal val="0"/>
          <c:showCatName val="0"/>
          <c:showSerName val="0"/>
          <c:showPercent val="0"/>
          <c:showBubbleSize val="0"/>
        </c:dLbls>
        <c:marker val="1"/>
        <c:smooth val="0"/>
        <c:axId val="1177901008"/>
        <c:axId val="762762320"/>
      </c:lineChart>
      <c:catAx>
        <c:axId val="11779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94244391796066806"/>
          <c:w val="1"/>
          <c:h val="5.755608203933192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717877951548602E-2"/>
          <c:y val="3.9118110236220478E-2"/>
          <c:w val="0.96028212204845143"/>
          <c:h val="0.72578463308524788"/>
        </c:manualLayout>
      </c:layout>
      <c:lineChart>
        <c:grouping val="standard"/>
        <c:varyColors val="0"/>
        <c:ser>
          <c:idx val="0"/>
          <c:order val="0"/>
          <c:tx>
            <c:strRef>
              <c:f>'SD_CS (f)'!$F$10</c:f>
              <c:strCache>
                <c:ptCount val="1"/>
                <c:pt idx="0">
                  <c:v>Discretionary target setting</c:v>
                </c:pt>
              </c:strCache>
            </c:strRef>
          </c:tx>
          <c:spPr>
            <a:ln w="12700" cap="rnd">
              <a:solidFill>
                <a:schemeClr val="accent2"/>
              </a:solidFill>
              <a:round/>
            </a:ln>
            <a:effectLst/>
          </c:spPr>
          <c:marker>
            <c:symbol val="square"/>
            <c:size val="5"/>
            <c:spPr>
              <a:noFill/>
              <a:ln w="9525">
                <a:solidFill>
                  <a:schemeClr val="accent2"/>
                </a:solidFill>
              </a:ln>
              <a:effectLst/>
            </c:spPr>
          </c:marker>
          <c:dPt>
            <c:idx val="0"/>
            <c:marker>
              <c:symbol val="square"/>
              <c:size val="5"/>
              <c:spPr>
                <a:noFill/>
                <a:ln w="9525">
                  <a:solidFill>
                    <a:schemeClr val="accent5"/>
                  </a:solidFill>
                </a:ln>
                <a:effectLst/>
              </c:spPr>
            </c:marker>
            <c:bubble3D val="0"/>
            <c:extLst>
              <c:ext xmlns:c16="http://schemas.microsoft.com/office/drawing/2014/chart" uri="{C3380CC4-5D6E-409C-BE32-E72D297353CC}">
                <c16:uniqueId val="{00000000-29DA-40BB-8557-99A16A89CDD2}"/>
              </c:ext>
            </c:extLst>
          </c:dPt>
          <c:dPt>
            <c:idx val="3"/>
            <c:marker>
              <c:symbol val="square"/>
              <c:size val="5"/>
              <c:spPr>
                <a:noFill/>
                <a:ln w="9525">
                  <a:solidFill>
                    <a:schemeClr val="accent2"/>
                  </a:solidFill>
                </a:ln>
                <a:effectLst/>
              </c:spPr>
            </c:marker>
            <c:bubble3D val="0"/>
            <c:extLst>
              <c:ext xmlns:c16="http://schemas.microsoft.com/office/drawing/2014/chart" uri="{C3380CC4-5D6E-409C-BE32-E72D297353CC}">
                <c16:uniqueId val="{00000001-29DA-40BB-8557-99A16A89CDD2}"/>
              </c:ext>
            </c:extLst>
          </c:dPt>
          <c:dLbls>
            <c:dLbl>
              <c:idx val="0"/>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29DA-40BB-8557-99A16A89CDD2}"/>
                </c:ext>
              </c:extLst>
            </c:dLbl>
            <c:dLbl>
              <c:idx val="1"/>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29DA-40BB-8557-99A16A89CDD2}"/>
                </c:ext>
              </c:extLst>
            </c:dLbl>
            <c:dLbl>
              <c:idx val="2"/>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29DA-40BB-8557-99A16A89CDD2}"/>
                </c:ext>
              </c:extLst>
            </c:dLbl>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29DA-40BB-8557-99A16A89CDD2}"/>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29DA-40BB-8557-99A16A89CDD2}"/>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29DA-40BB-8557-99A16A89CDD2}"/>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29DA-40BB-8557-99A16A89CDD2}"/>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29DA-40BB-8557-99A16A89CDD2}"/>
                </c:ext>
              </c:extLst>
            </c:dLbl>
            <c:dLbl>
              <c:idx val="8"/>
              <c:delete val="1"/>
              <c:extLst>
                <c:ext xmlns:c15="http://schemas.microsoft.com/office/drawing/2012/chart" uri="{CE6537A1-D6FC-4f65-9D91-7224C49458BB}"/>
                <c:ext xmlns:c16="http://schemas.microsoft.com/office/drawing/2014/chart" uri="{C3380CC4-5D6E-409C-BE32-E72D297353CC}">
                  <c16:uniqueId val="{00000012-29DA-40BB-8557-99A16A89CDD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(f)'!$G$10:$O$10</c:f>
              <c:numCache>
                <c:formatCode>0.00</c:formatCode>
                <c:ptCount val="9"/>
                <c:pt idx="0">
                  <c:v>0</c:v>
                </c:pt>
                <c:pt idx="1">
                  <c:v>0</c:v>
                </c:pt>
                <c:pt idx="2">
                  <c:v>0</c:v>
                </c:pt>
                <c:pt idx="3">
                  <c:v>0</c:v>
                </c:pt>
                <c:pt idx="8">
                  <c:v>0</c:v>
                </c:pt>
              </c:numCache>
            </c:numRef>
          </c:val>
          <c:smooth val="0"/>
          <c:extLst>
            <c:ext xmlns:c16="http://schemas.microsoft.com/office/drawing/2014/chart" uri="{C3380CC4-5D6E-409C-BE32-E72D297353CC}">
              <c16:uniqueId val="{00000008-29DA-40BB-8557-99A16A89CDD2}"/>
            </c:ext>
          </c:extLst>
        </c:ser>
        <c:ser>
          <c:idx val="1"/>
          <c:order val="1"/>
          <c:tx>
            <c:strRef>
              <c:f>'SD_CS (f)'!$F$11</c:f>
              <c:strCache>
                <c:ptCount val="1"/>
                <c:pt idx="0">
                  <c:v>Linear/stepped approach - D|E</c:v>
                </c:pt>
              </c:strCache>
            </c:strRef>
          </c:tx>
          <c:spPr>
            <a:ln w="12700" cap="rnd">
              <a:solidFill>
                <a:schemeClr val="accent2"/>
              </a:solidFill>
              <a:prstDash val="sysDash"/>
              <a:round/>
            </a:ln>
            <a:effectLst/>
          </c:spPr>
          <c:marker>
            <c:symbol val="square"/>
            <c:size val="5"/>
            <c:spPr>
              <a:solidFill>
                <a:schemeClr val="accent2"/>
              </a:solidFill>
              <a:ln w="9525">
                <a:no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A-29DA-40BB-8557-99A16A89CDD2}"/>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A-29DA-40BB-8557-99A16A89CDD2}"/>
                </c:ext>
              </c:extLst>
            </c:dLbl>
            <c:dLbl>
              <c:idx val="8"/>
              <c:delete val="1"/>
              <c:extLst>
                <c:ext xmlns:c15="http://schemas.microsoft.com/office/drawing/2012/chart" uri="{CE6537A1-D6FC-4f65-9D91-7224C49458BB}"/>
                <c:ext xmlns:c16="http://schemas.microsoft.com/office/drawing/2014/chart" uri="{C3380CC4-5D6E-409C-BE32-E72D297353CC}">
                  <c16:uniqueId val="{00000011-29DA-40BB-8557-99A16A89CDD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(f)'!$G$11:$O$11</c:f>
              <c:numCache>
                <c:formatCode>0.00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B-29DA-40BB-8557-99A16A89CDD2}"/>
            </c:ext>
          </c:extLst>
        </c:ser>
        <c:ser>
          <c:idx val="2"/>
          <c:order val="2"/>
          <c:tx>
            <c:strRef>
              <c:f>'SD_CS (f)'!$F$12</c:f>
              <c:strCache>
                <c:ptCount val="1"/>
                <c:pt idx="0">
                  <c:v>Benchmark value CY+5</c:v>
                </c:pt>
              </c:strCache>
            </c:strRef>
          </c:tx>
          <c:spPr>
            <a:ln w="28575" cap="rnd">
              <a:noFill/>
              <a:round/>
            </a:ln>
            <a:effectLst/>
          </c:spPr>
          <c:marker>
            <c:symbol val="square"/>
            <c:size val="5"/>
            <c:spPr>
              <a:solidFill>
                <a:schemeClr val="tx1">
                  <a:lumMod val="75000"/>
                  <a:lumOff val="25000"/>
                </a:schemeClr>
              </a:solidFill>
              <a:ln w="9525">
                <a:solidFill>
                  <a:schemeClr val="tx1">
                    <a:lumMod val="75000"/>
                    <a:lumOff val="25000"/>
                  </a:schemeClr>
                </a:solidFill>
              </a:ln>
              <a:effectLst/>
            </c:spPr>
          </c:marker>
          <c:dPt>
            <c:idx val="8"/>
            <c:marker>
              <c:symbol val="square"/>
              <c:size val="5"/>
              <c:spPr>
                <a:solidFill>
                  <a:schemeClr val="tx1">
                    <a:lumMod val="75000"/>
                    <a:lumOff val="25000"/>
                  </a:schemeClr>
                </a:solidFill>
                <a:ln w="9525">
                  <a:solidFill>
                    <a:schemeClr val="tx1">
                      <a:lumMod val="75000"/>
                      <a:lumOff val="25000"/>
                    </a:schemeClr>
                  </a:solidFill>
                </a:ln>
                <a:effectLst/>
              </c:spPr>
            </c:marker>
            <c:bubble3D val="0"/>
            <c:spPr>
              <a:ln w="28575" cap="rnd">
                <a:noFill/>
                <a:round/>
              </a:ln>
              <a:effectLst/>
            </c:spPr>
            <c:extLst>
              <c:ext xmlns:c16="http://schemas.microsoft.com/office/drawing/2014/chart" uri="{C3380CC4-5D6E-409C-BE32-E72D297353CC}">
                <c16:uniqueId val="{0000000D-29DA-40BB-8557-99A16A89CDD2}"/>
              </c:ext>
            </c:extLst>
          </c:dPt>
          <c:dLbls>
            <c:dLbl>
              <c:idx val="8"/>
              <c:numFmt formatCode="#,##0.00" sourceLinked="0"/>
              <c:spPr>
                <a:noFill/>
                <a:ln>
                  <a:noFill/>
                </a:ln>
                <a:effectLst/>
              </c:spPr>
              <c:txPr>
                <a:bodyPr rot="0" spcFirstLastPara="1" vertOverflow="ellipsis" vert="horz" wrap="square" anchor="ctr" anchorCtr="1"/>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0D-29DA-40BB-8557-99A16A89CDD2}"/>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(f)'!$G$12:$O$12</c:f>
              <c:numCache>
                <c:formatCode>0.00</c:formatCode>
                <c:ptCount val="9"/>
                <c:pt idx="8">
                  <c:v>0</c:v>
                </c:pt>
              </c:numCache>
            </c:numRef>
          </c:val>
          <c:smooth val="0"/>
          <c:extLst>
            <c:ext xmlns:c16="http://schemas.microsoft.com/office/drawing/2014/chart" uri="{C3380CC4-5D6E-409C-BE32-E72D297353CC}">
              <c16:uniqueId val="{0000000E-29DA-40BB-8557-99A16A89CDD2}"/>
            </c:ext>
          </c:extLst>
        </c:ser>
        <c:ser>
          <c:idx val="3"/>
          <c:order val="3"/>
          <c:tx>
            <c:strRef>
              <c:f>'SD_CS (f)'!$F$13</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(f)'!$G$13:$O$13</c:f>
              <c:numCache>
                <c:formatCode>0.00</c:formatCode>
                <c:ptCount val="9"/>
                <c:pt idx="8">
                  <c:v>0</c:v>
                </c:pt>
              </c:numCache>
            </c:numRef>
          </c:val>
          <c:smooth val="0"/>
          <c:extLst>
            <c:ext xmlns:c16="http://schemas.microsoft.com/office/drawing/2014/chart" uri="{C3380CC4-5D6E-409C-BE32-E72D297353CC}">
              <c16:uniqueId val="{0000000F-29DA-40BB-8557-99A16A89CDD2}"/>
            </c:ext>
          </c:extLst>
        </c:ser>
        <c:ser>
          <c:idx val="4"/>
          <c:order val="4"/>
          <c:tx>
            <c:strRef>
              <c:f>'SD_CS (f)'!$F$14</c:f>
              <c:strCache>
                <c:ptCount val="1"/>
                <c:pt idx="0">
                  <c:v>Acceptable deviation upper bracket according to CSCC guidelines</c:v>
                </c:pt>
              </c:strCache>
            </c:strRef>
          </c:tx>
          <c:spPr>
            <a:ln w="28575" cap="rnd">
              <a:noFill/>
              <a:round/>
            </a:ln>
            <a:effectLst/>
          </c:spPr>
          <c:marker>
            <c:symbol val="circle"/>
            <c:size val="5"/>
            <c:spPr>
              <a:solidFill>
                <a:schemeClr val="accent5"/>
              </a:solidFill>
              <a:ln w="9525">
                <a:solidFill>
                  <a:schemeClr val="accent5"/>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(f)'!$G$14:$O$14</c:f>
              <c:numCache>
                <c:formatCode>0.00</c:formatCode>
                <c:ptCount val="9"/>
                <c:pt idx="8">
                  <c:v>0</c:v>
                </c:pt>
              </c:numCache>
            </c:numRef>
          </c:val>
          <c:smooth val="0"/>
          <c:extLst>
            <c:ext xmlns:c16="http://schemas.microsoft.com/office/drawing/2014/chart" uri="{C3380CC4-5D6E-409C-BE32-E72D297353CC}">
              <c16:uniqueId val="{00000010-29DA-40BB-8557-99A16A89CDD2}"/>
            </c:ext>
          </c:extLst>
        </c:ser>
        <c:dLbls>
          <c:showLegendKey val="0"/>
          <c:showVal val="0"/>
          <c:showCatName val="0"/>
          <c:showSerName val="0"/>
          <c:showPercent val="0"/>
          <c:showBubbleSize val="0"/>
        </c:dLbls>
        <c:marker val="1"/>
        <c:smooth val="0"/>
        <c:axId val="1177901008"/>
        <c:axId val="762762320"/>
      </c:lineChart>
      <c:catAx>
        <c:axId val="11779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6887397979362169"/>
          <c:w val="1"/>
          <c:h val="0.1274730521698486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23650793650793"/>
          <c:y val="6.0981322963520594E-2"/>
          <c:w val="0.91865985966972652"/>
          <c:h val="0.70846217948717949"/>
        </c:manualLayout>
      </c:layout>
      <c:lineChart>
        <c:grouping val="standard"/>
        <c:varyColors val="0"/>
        <c:ser>
          <c:idx val="3"/>
          <c:order val="0"/>
          <c:tx>
            <c:strRef>
              <c:f>'SD_RT (f)'!$F$23</c:f>
              <c:strCache>
                <c:ptCount val="1"/>
                <c:pt idx="0">
                  <c:v>Discretionary target setting - ROE (commercial)</c:v>
                </c:pt>
              </c:strCache>
            </c:strRef>
          </c:tx>
          <c:spPr>
            <a:ln w="12700" cap="rnd">
              <a:solidFill>
                <a:schemeClr val="accent2"/>
              </a:solidFill>
              <a:round/>
            </a:ln>
            <a:effectLst/>
          </c:spPr>
          <c:marker>
            <c:symbol val="square"/>
            <c:size val="5"/>
            <c:spPr>
              <a:noFill/>
              <a:ln w="9525">
                <a:solidFill>
                  <a:schemeClr val="accent2"/>
                </a:solidFill>
              </a:ln>
              <a:effectLst/>
            </c:spPr>
          </c:marker>
          <c:dPt>
            <c:idx val="3"/>
            <c:marker>
              <c:symbol val="square"/>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0-73DD-474F-A604-0EBD331DCED1}"/>
              </c:ext>
            </c:extLst>
          </c:dPt>
          <c:dLbls>
            <c:dLbl>
              <c:idx val="0"/>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73DD-474F-A604-0EBD331DCED1}"/>
                </c:ext>
              </c:extLst>
            </c:dLbl>
            <c:dLbl>
              <c:idx val="1"/>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73DD-474F-A604-0EBD331DCED1}"/>
                </c:ext>
              </c:extLst>
            </c:dLbl>
            <c:dLbl>
              <c:idx val="2"/>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73DD-474F-A604-0EBD331DCED1}"/>
                </c:ext>
              </c:extLst>
            </c:dLbl>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73DD-474F-A604-0EBD331DCED1}"/>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73DD-474F-A604-0EBD331DCED1}"/>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73DD-474F-A604-0EBD331DCED1}"/>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73DD-474F-A604-0EBD331DCED1}"/>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73DD-474F-A604-0EBD331DCED1}"/>
                </c:ext>
              </c:extLst>
            </c:dLbl>
            <c:dLbl>
              <c:idx val="8"/>
              <c:delete val="1"/>
              <c:extLst>
                <c:ext xmlns:c15="http://schemas.microsoft.com/office/drawing/2012/chart" uri="{CE6537A1-D6FC-4f65-9D91-7224C49458BB}"/>
                <c:ext xmlns:c16="http://schemas.microsoft.com/office/drawing/2014/chart" uri="{C3380CC4-5D6E-409C-BE32-E72D297353CC}">
                  <c16:uniqueId val="{00000008-73DD-474F-A604-0EBD331DCED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'SD_RT (f)'!$G$23:$O$23</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9-73DD-474F-A604-0EBD331DCED1}"/>
            </c:ext>
          </c:extLst>
        </c:ser>
        <c:ser>
          <c:idx val="2"/>
          <c:order val="1"/>
          <c:tx>
            <c:strRef>
              <c:f>'SD_RT (f)'!$F$24</c:f>
              <c:strCache>
                <c:ptCount val="1"/>
                <c:pt idx="0">
                  <c:v> Linear/stepped approach - ROE (commercial)</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2"/>
                </a:solidFill>
                <a:prstDash val="sysDash"/>
                <a:round/>
              </a:ln>
              <a:effectLst/>
            </c:spPr>
            <c:extLst>
              <c:ext xmlns:c16="http://schemas.microsoft.com/office/drawing/2014/chart" uri="{C3380CC4-5D6E-409C-BE32-E72D297353CC}">
                <c16:uniqueId val="{0000000B-73DD-474F-A604-0EBD331DCED1}"/>
              </c:ext>
            </c:extLst>
          </c:dPt>
          <c:dPt>
            <c:idx val="4"/>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C-73DD-474F-A604-0EBD331DCED1}"/>
              </c:ext>
            </c:extLst>
          </c:dPt>
          <c:dPt>
            <c:idx val="5"/>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D-73DD-474F-A604-0EBD331DCED1}"/>
              </c:ext>
            </c:extLst>
          </c:dPt>
          <c:dPt>
            <c:idx val="6"/>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E-73DD-474F-A604-0EBD331DCED1}"/>
              </c:ext>
            </c:extLst>
          </c:dPt>
          <c:dPt>
            <c:idx val="7"/>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F-73DD-474F-A604-0EBD331DCED1}"/>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dLblPos val="r"/>
              <c:showLegendKey val="0"/>
              <c:showVal val="1"/>
              <c:showCatName val="0"/>
              <c:showSerName val="0"/>
              <c:showPercent val="0"/>
              <c:showBubbleSize val="0"/>
              <c:extLst>
                <c:ext xmlns:c16="http://schemas.microsoft.com/office/drawing/2014/chart" uri="{C3380CC4-5D6E-409C-BE32-E72D297353CC}">
                  <c16:uniqueId val="{0000000B-73DD-474F-A604-0EBD331DCED1}"/>
                </c:ext>
              </c:extLst>
            </c:dLbl>
            <c:dLbl>
              <c:idx val="8"/>
              <c:delete val="1"/>
              <c:extLst>
                <c:ext xmlns:c15="http://schemas.microsoft.com/office/drawing/2012/chart" uri="{CE6537A1-D6FC-4f65-9D91-7224C49458BB}"/>
                <c:ext xmlns:c16="http://schemas.microsoft.com/office/drawing/2014/chart" uri="{C3380CC4-5D6E-409C-BE32-E72D297353CC}">
                  <c16:uniqueId val="{00000010-73DD-474F-A604-0EBD331DCED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'SD_RT (f)'!$G$24:$O$24</c:f>
              <c:numCache>
                <c:formatCode>0.00%</c:formatCode>
                <c:ptCount val="9"/>
                <c:pt idx="3">
                  <c:v>0</c:v>
                </c:pt>
                <c:pt idx="4">
                  <c:v>0</c:v>
                </c:pt>
                <c:pt idx="5">
                  <c:v>0</c:v>
                </c:pt>
                <c:pt idx="6">
                  <c:v>0</c:v>
                </c:pt>
                <c:pt idx="7">
                  <c:v>0</c:v>
                </c:pt>
                <c:pt idx="8" formatCode="0.0000%">
                  <c:v>0</c:v>
                </c:pt>
              </c:numCache>
            </c:numRef>
          </c:val>
          <c:smooth val="0"/>
          <c:extLst>
            <c:ext xmlns:c16="http://schemas.microsoft.com/office/drawing/2014/chart" uri="{C3380CC4-5D6E-409C-BE32-E72D297353CC}">
              <c16:uniqueId val="{00000011-73DD-474F-A604-0EBD331DCED1}"/>
            </c:ext>
          </c:extLst>
        </c:ser>
        <c:ser>
          <c:idx val="1"/>
          <c:order val="2"/>
          <c:tx>
            <c:strRef>
              <c:f>'SD_RT (f)'!$F$25</c:f>
              <c:strCache>
                <c:ptCount val="1"/>
                <c:pt idx="0">
                  <c:v>Benchmark value (commercial) CY+5</c:v>
                </c:pt>
              </c:strCache>
            </c:strRef>
          </c:tx>
          <c:spPr>
            <a:ln w="25400" cap="rnd">
              <a:noFill/>
              <a:round/>
            </a:ln>
            <a:effectLst/>
          </c:spPr>
          <c:marker>
            <c:symbol val="square"/>
            <c:size val="5"/>
            <c:spPr>
              <a:solidFill>
                <a:schemeClr val="tx1">
                  <a:lumMod val="75000"/>
                  <a:lumOff val="25000"/>
                </a:schemeClr>
              </a:solidFill>
              <a:ln w="9525">
                <a:noFill/>
              </a:ln>
              <a:effectLst/>
            </c:spPr>
          </c:marker>
          <c:dLbls>
            <c:dLbl>
              <c:idx val="8"/>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12-73DD-474F-A604-0EBD331DCED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'SD_RT (f)'!$G$25:$O$25</c:f>
              <c:numCache>
                <c:formatCode>0.00%</c:formatCode>
                <c:ptCount val="9"/>
                <c:pt idx="8">
                  <c:v>0</c:v>
                </c:pt>
              </c:numCache>
            </c:numRef>
          </c:val>
          <c:smooth val="0"/>
          <c:extLst>
            <c:ext xmlns:c16="http://schemas.microsoft.com/office/drawing/2014/chart" uri="{C3380CC4-5D6E-409C-BE32-E72D297353CC}">
              <c16:uniqueId val="{00000013-73DD-474F-A604-0EBD331DCED1}"/>
            </c:ext>
          </c:extLst>
        </c:ser>
        <c:ser>
          <c:idx val="4"/>
          <c:order val="3"/>
          <c:tx>
            <c:strRef>
              <c:f>'SD_RT (f)'!$F$27</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'COM_RT (f)'!$G$27:$O$27</c:f>
              <c:numCache>
                <c:formatCode>0.00%</c:formatCode>
                <c:ptCount val="9"/>
                <c:pt idx="8">
                  <c:v>0</c:v>
                </c:pt>
              </c:numCache>
            </c:numRef>
          </c:val>
          <c:smooth val="0"/>
          <c:extLst>
            <c:ext xmlns:c16="http://schemas.microsoft.com/office/drawing/2014/chart" uri="{C3380CC4-5D6E-409C-BE32-E72D297353CC}">
              <c16:uniqueId val="{00000014-73DD-474F-A604-0EBD331DCED1}"/>
            </c:ext>
          </c:extLst>
        </c:ser>
        <c:ser>
          <c:idx val="0"/>
          <c:order val="4"/>
          <c:tx>
            <c:strRef>
              <c:f>'SD_RT (f)'!$F$26</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'SD_RT (f)'!$G$26:$O$26</c:f>
              <c:numCache>
                <c:formatCode>0.00%</c:formatCode>
                <c:ptCount val="9"/>
                <c:pt idx="8">
                  <c:v>0</c:v>
                </c:pt>
              </c:numCache>
            </c:numRef>
          </c:val>
          <c:smooth val="0"/>
          <c:extLst>
            <c:ext xmlns:c16="http://schemas.microsoft.com/office/drawing/2014/chart" uri="{C3380CC4-5D6E-409C-BE32-E72D297353CC}">
              <c16:uniqueId val="{00000015-73DD-474F-A604-0EBD331DCED1}"/>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850106837606841"/>
          <c:w val="0.98829521539165421"/>
          <c:h val="0.1560455128205128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185666847321037E-2"/>
          <c:y val="3.9512313505790632E-2"/>
          <c:w val="0.91865985966972652"/>
          <c:h val="0.72190310203540176"/>
        </c:manualLayout>
      </c:layout>
      <c:lineChart>
        <c:grouping val="standard"/>
        <c:varyColors val="0"/>
        <c:ser>
          <c:idx val="0"/>
          <c:order val="0"/>
          <c:tx>
            <c:strRef>
              <c:f>'SD_RT (f)'!$F$31</c:f>
              <c:strCache>
                <c:ptCount val="1"/>
                <c:pt idx="0">
                  <c:v>Discretionary target setting - ROE (regulated)</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466B-4864-B98E-0C40308D91EB}"/>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466B-4864-B98E-0C40308D91EB}"/>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466B-4864-B98E-0C40308D91EB}"/>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466B-4864-B98E-0C40308D91EB}"/>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466B-4864-B98E-0C40308D91EB}"/>
                </c:ext>
              </c:extLst>
            </c:dLbl>
            <c:dLbl>
              <c:idx val="8"/>
              <c:delete val="1"/>
              <c:extLst>
                <c:ext xmlns:c15="http://schemas.microsoft.com/office/drawing/2012/chart" uri="{CE6537A1-D6FC-4f65-9D91-7224C49458BB}"/>
                <c:ext xmlns:c16="http://schemas.microsoft.com/office/drawing/2014/chart" uri="{C3380CC4-5D6E-409C-BE32-E72D297353CC}">
                  <c16:uniqueId val="{00000005-466B-4864-B98E-0C40308D91EB}"/>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(f)'!$G$31:$O$31</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6-466B-4864-B98E-0C40308D91EB}"/>
            </c:ext>
          </c:extLst>
        </c:ser>
        <c:ser>
          <c:idx val="1"/>
          <c:order val="1"/>
          <c:tx>
            <c:strRef>
              <c:f>'SD_RT (f)'!$F$32</c:f>
              <c:strCache>
                <c:ptCount val="1"/>
                <c:pt idx="0">
                  <c:v> Linear/stepped approach - ROE (regulated)</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8-466B-4864-B98E-0C40308D91EB}"/>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8-466B-4864-B98E-0C40308D91EB}"/>
                </c:ext>
              </c:extLst>
            </c:dLbl>
            <c:dLbl>
              <c:idx val="8"/>
              <c:delete val="1"/>
              <c:extLst>
                <c:ext xmlns:c15="http://schemas.microsoft.com/office/drawing/2012/chart" uri="{CE6537A1-D6FC-4f65-9D91-7224C49458BB}"/>
                <c:ext xmlns:c16="http://schemas.microsoft.com/office/drawing/2014/chart" uri="{C3380CC4-5D6E-409C-BE32-E72D297353CC}">
                  <c16:uniqueId val="{00000009-466B-4864-B98E-0C40308D91E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(f)'!$G$32:$O$32</c:f>
              <c:numCache>
                <c:formatCode>0.00%</c:formatCode>
                <c:ptCount val="9"/>
                <c:pt idx="3">
                  <c:v>0</c:v>
                </c:pt>
                <c:pt idx="4">
                  <c:v>0</c:v>
                </c:pt>
                <c:pt idx="5">
                  <c:v>0</c:v>
                </c:pt>
                <c:pt idx="6">
                  <c:v>0</c:v>
                </c:pt>
                <c:pt idx="7">
                  <c:v>0</c:v>
                </c:pt>
                <c:pt idx="8" formatCode="0.00">
                  <c:v>0</c:v>
                </c:pt>
              </c:numCache>
            </c:numRef>
          </c:val>
          <c:smooth val="0"/>
          <c:extLst>
            <c:ext xmlns:c16="http://schemas.microsoft.com/office/drawing/2014/chart" uri="{C3380CC4-5D6E-409C-BE32-E72D297353CC}">
              <c16:uniqueId val="{0000000A-466B-4864-B98E-0C40308D91EB}"/>
            </c:ext>
          </c:extLst>
        </c:ser>
        <c:ser>
          <c:idx val="2"/>
          <c:order val="2"/>
          <c:tx>
            <c:strRef>
              <c:f>'SD_RT (f)'!$F$33</c:f>
              <c:strCache>
                <c:ptCount val="1"/>
                <c:pt idx="0">
                  <c:v>Benchmark value (regulated) CY+5</c:v>
                </c:pt>
              </c:strCache>
            </c:strRef>
          </c:tx>
          <c:spPr>
            <a:ln w="25400" cap="rnd">
              <a:noFill/>
              <a:round/>
            </a:ln>
            <a:effectLst/>
          </c:spPr>
          <c:marker>
            <c:symbol val="square"/>
            <c:size val="5"/>
            <c:spPr>
              <a:solidFill>
                <a:schemeClr val="tx1">
                  <a:lumMod val="75000"/>
                  <a:lumOff val="25000"/>
                </a:schemeClr>
              </a:solidFill>
              <a:ln w="9525">
                <a:noFill/>
              </a:ln>
              <a:effectLst/>
            </c:spPr>
          </c:marker>
          <c:dLbls>
            <c:dLbl>
              <c:idx val="8"/>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0B-466B-4864-B98E-0C40308D91E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(f)'!$G$33:$O$33</c:f>
              <c:numCache>
                <c:formatCode>0.00%</c:formatCode>
                <c:ptCount val="9"/>
                <c:pt idx="8">
                  <c:v>0</c:v>
                </c:pt>
              </c:numCache>
            </c:numRef>
          </c:val>
          <c:smooth val="0"/>
          <c:extLst>
            <c:ext xmlns:c16="http://schemas.microsoft.com/office/drawing/2014/chart" uri="{C3380CC4-5D6E-409C-BE32-E72D297353CC}">
              <c16:uniqueId val="{0000000C-466B-4864-B98E-0C40308D91EB}"/>
            </c:ext>
          </c:extLst>
        </c:ser>
        <c:ser>
          <c:idx val="4"/>
          <c:order val="3"/>
          <c:tx>
            <c:strRef>
              <c:f>'SD_RT (f)'!$F$35</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(f)'!$G$35:$O$35</c:f>
              <c:numCache>
                <c:formatCode>0.00%</c:formatCode>
                <c:ptCount val="9"/>
                <c:pt idx="8">
                  <c:v>0</c:v>
                </c:pt>
              </c:numCache>
            </c:numRef>
          </c:val>
          <c:smooth val="0"/>
          <c:extLst>
            <c:ext xmlns:c16="http://schemas.microsoft.com/office/drawing/2014/chart" uri="{C3380CC4-5D6E-409C-BE32-E72D297353CC}">
              <c16:uniqueId val="{0000000D-466B-4864-B98E-0C40308D91EB}"/>
            </c:ext>
          </c:extLst>
        </c:ser>
        <c:ser>
          <c:idx val="3"/>
          <c:order val="4"/>
          <c:tx>
            <c:strRef>
              <c:f>'SD_RT (f)'!$F$34</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(f)'!$G$34:$O$34</c:f>
              <c:numCache>
                <c:formatCode>0.00%</c:formatCode>
                <c:ptCount val="9"/>
                <c:pt idx="8">
                  <c:v>0</c:v>
                </c:pt>
              </c:numCache>
            </c:numRef>
          </c:val>
          <c:smooth val="0"/>
          <c:extLst>
            <c:ext xmlns:c16="http://schemas.microsoft.com/office/drawing/2014/chart" uri="{C3380CC4-5D6E-409C-BE32-E72D297353CC}">
              <c16:uniqueId val="{0000000E-466B-4864-B98E-0C40308D91EB}"/>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525327666757132"/>
          <c:w val="1"/>
          <c:h val="0.1642563778484291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03611230759329"/>
          <c:y val="4.480334858072979E-2"/>
          <c:w val="0.91865985966972652"/>
          <c:h val="0.71660320512820508"/>
        </c:manualLayout>
      </c:layout>
      <c:lineChart>
        <c:grouping val="standard"/>
        <c:varyColors val="0"/>
        <c:ser>
          <c:idx val="0"/>
          <c:order val="0"/>
          <c:tx>
            <c:strRef>
              <c:f>'SD_RT (f)'!$F$39</c:f>
              <c:strCache>
                <c:ptCount val="1"/>
                <c:pt idx="0">
                  <c:v>Discretionary target setting - ROE (state financed)</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D033-4F3A-9DA8-07ABB2103842}"/>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D033-4F3A-9DA8-07ABB2103842}"/>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D033-4F3A-9DA8-07ABB2103842}"/>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D033-4F3A-9DA8-07ABB2103842}"/>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D033-4F3A-9DA8-07ABB2103842}"/>
                </c:ext>
              </c:extLst>
            </c:dLbl>
            <c:dLbl>
              <c:idx val="8"/>
              <c:delete val="1"/>
              <c:extLst>
                <c:ext xmlns:c15="http://schemas.microsoft.com/office/drawing/2012/chart" uri="{CE6537A1-D6FC-4f65-9D91-7224C49458BB}"/>
                <c:ext xmlns:c16="http://schemas.microsoft.com/office/drawing/2014/chart" uri="{C3380CC4-5D6E-409C-BE32-E72D297353CC}">
                  <c16:uniqueId val="{00000005-D033-4F3A-9DA8-07ABB2103842}"/>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(f)'!$G$39:$O$39</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6-D033-4F3A-9DA8-07ABB2103842}"/>
            </c:ext>
          </c:extLst>
        </c:ser>
        <c:ser>
          <c:idx val="1"/>
          <c:order val="1"/>
          <c:tx>
            <c:strRef>
              <c:f>'SD_RT (f)'!$F$40</c:f>
              <c:strCache>
                <c:ptCount val="1"/>
                <c:pt idx="0">
                  <c:v> Linear/stepped approach - ROE (state financed)</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square"/>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7-D033-4F3A-9DA8-07ABB2103842}"/>
              </c:ext>
            </c:extLst>
          </c:dPt>
          <c:dPt>
            <c:idx val="4"/>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8-D033-4F3A-9DA8-07ABB2103842}"/>
              </c:ext>
            </c:extLst>
          </c:dPt>
          <c:dPt>
            <c:idx val="5"/>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9-D033-4F3A-9DA8-07ABB2103842}"/>
              </c:ext>
            </c:extLst>
          </c:dPt>
          <c:dPt>
            <c:idx val="6"/>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A-D033-4F3A-9DA8-07ABB2103842}"/>
              </c:ext>
            </c:extLst>
          </c:dPt>
          <c:dPt>
            <c:idx val="7"/>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B-D033-4F3A-9DA8-07ABB2103842}"/>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D033-4F3A-9DA8-07ABB2103842}"/>
                </c:ext>
              </c:extLst>
            </c:dLbl>
            <c:dLbl>
              <c:idx val="8"/>
              <c:delete val="1"/>
              <c:extLst>
                <c:ext xmlns:c15="http://schemas.microsoft.com/office/drawing/2012/chart" uri="{CE6537A1-D6FC-4f65-9D91-7224C49458BB}"/>
                <c:ext xmlns:c16="http://schemas.microsoft.com/office/drawing/2014/chart" uri="{C3380CC4-5D6E-409C-BE32-E72D297353CC}">
                  <c16:uniqueId val="{0000000C-D033-4F3A-9DA8-07ABB210384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(f)'!$G$40:$O$40</c:f>
              <c:numCache>
                <c:formatCode>0.00%</c:formatCode>
                <c:ptCount val="9"/>
                <c:pt idx="3">
                  <c:v>0</c:v>
                </c:pt>
                <c:pt idx="4">
                  <c:v>0</c:v>
                </c:pt>
                <c:pt idx="5">
                  <c:v>0</c:v>
                </c:pt>
                <c:pt idx="6">
                  <c:v>0</c:v>
                </c:pt>
                <c:pt idx="7">
                  <c:v>0</c:v>
                </c:pt>
                <c:pt idx="8" formatCode="0.0000">
                  <c:v>0</c:v>
                </c:pt>
              </c:numCache>
            </c:numRef>
          </c:val>
          <c:smooth val="0"/>
          <c:extLst>
            <c:ext xmlns:c16="http://schemas.microsoft.com/office/drawing/2014/chart" uri="{C3380CC4-5D6E-409C-BE32-E72D297353CC}">
              <c16:uniqueId val="{0000000D-D033-4F3A-9DA8-07ABB2103842}"/>
            </c:ext>
          </c:extLst>
        </c:ser>
        <c:ser>
          <c:idx val="2"/>
          <c:order val="2"/>
          <c:tx>
            <c:strRef>
              <c:f>'SD_RT (f)'!$F$41</c:f>
              <c:strCache>
                <c:ptCount val="1"/>
                <c:pt idx="0">
                  <c:v>Benchmark value (state financed) CY+5</c:v>
                </c:pt>
              </c:strCache>
            </c:strRef>
          </c:tx>
          <c:spPr>
            <a:ln w="25400" cap="rnd">
              <a:noFill/>
              <a:round/>
            </a:ln>
            <a:effectLst/>
          </c:spPr>
          <c:marker>
            <c:symbol val="square"/>
            <c:size val="5"/>
            <c:spPr>
              <a:solidFill>
                <a:schemeClr val="tx1">
                  <a:lumMod val="75000"/>
                  <a:lumOff val="25000"/>
                </a:schemeClr>
              </a:solidFill>
              <a:ln w="9525">
                <a:solidFill>
                  <a:schemeClr val="tx1">
                    <a:lumMod val="75000"/>
                    <a:lumOff val="25000"/>
                  </a:schemeClr>
                </a:solidFill>
              </a:ln>
              <a:effectLst/>
            </c:spPr>
          </c:marker>
          <c:dPt>
            <c:idx val="8"/>
            <c:marker>
              <c:symbol val="square"/>
              <c:size val="5"/>
              <c:spPr>
                <a:solidFill>
                  <a:schemeClr val="tx1">
                    <a:lumMod val="75000"/>
                    <a:lumOff val="25000"/>
                  </a:schemeClr>
                </a:solidFill>
                <a:ln w="9525">
                  <a:solidFill>
                    <a:schemeClr val="tx1">
                      <a:lumMod val="75000"/>
                      <a:lumOff val="25000"/>
                    </a:schemeClr>
                  </a:solidFill>
                </a:ln>
                <a:effectLst/>
              </c:spPr>
            </c:marker>
            <c:bubble3D val="0"/>
            <c:spPr>
              <a:ln w="25400" cap="rnd">
                <a:noFill/>
                <a:round/>
              </a:ln>
              <a:effectLst/>
            </c:spPr>
            <c:extLst>
              <c:ext xmlns:c16="http://schemas.microsoft.com/office/drawing/2014/chart" uri="{C3380CC4-5D6E-409C-BE32-E72D297353CC}">
                <c16:uniqueId val="{0000000F-D033-4F3A-9DA8-07ABB2103842}"/>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(f)'!$G$41:$O$41</c:f>
              <c:numCache>
                <c:formatCode>0.00%</c:formatCode>
                <c:ptCount val="9"/>
                <c:pt idx="8">
                  <c:v>0</c:v>
                </c:pt>
              </c:numCache>
            </c:numRef>
          </c:val>
          <c:smooth val="0"/>
          <c:extLst>
            <c:ext xmlns:c16="http://schemas.microsoft.com/office/drawing/2014/chart" uri="{C3380CC4-5D6E-409C-BE32-E72D297353CC}">
              <c16:uniqueId val="{00000010-D033-4F3A-9DA8-07ABB2103842}"/>
            </c:ext>
          </c:extLst>
        </c:ser>
        <c:ser>
          <c:idx val="4"/>
          <c:order val="3"/>
          <c:tx>
            <c:strRef>
              <c:f>'SD_RT (f)'!$F$43</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dLbl>
              <c:idx val="8"/>
              <c:layout>
                <c:manualLayout>
                  <c:x val="-6.0982567667255828E-2"/>
                  <c:y val="-1.3227510472126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033-4F3A-9DA8-07ABB210384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(f)'!$G$43:$O$43</c:f>
              <c:numCache>
                <c:formatCode>0.00%</c:formatCode>
                <c:ptCount val="9"/>
                <c:pt idx="8">
                  <c:v>0</c:v>
                </c:pt>
              </c:numCache>
            </c:numRef>
          </c:val>
          <c:smooth val="0"/>
          <c:extLst>
            <c:ext xmlns:c16="http://schemas.microsoft.com/office/drawing/2014/chart" uri="{C3380CC4-5D6E-409C-BE32-E72D297353CC}">
              <c16:uniqueId val="{00000012-D033-4F3A-9DA8-07ABB2103842}"/>
            </c:ext>
          </c:extLst>
        </c:ser>
        <c:ser>
          <c:idx val="3"/>
          <c:order val="4"/>
          <c:tx>
            <c:strRef>
              <c:f>'SD_RT (f)'!$F$42</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(f)'!$G$42:$O$42</c:f>
              <c:numCache>
                <c:formatCode>0.00%</c:formatCode>
                <c:ptCount val="9"/>
                <c:pt idx="8">
                  <c:v>0</c:v>
                </c:pt>
              </c:numCache>
            </c:numRef>
          </c:val>
          <c:smooth val="0"/>
          <c:extLst>
            <c:ext xmlns:c16="http://schemas.microsoft.com/office/drawing/2014/chart" uri="{C3380CC4-5D6E-409C-BE32-E72D297353CC}">
              <c16:uniqueId val="{00000013-D033-4F3A-9DA8-07ABB2103842}"/>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329441459517262"/>
          <c:w val="1"/>
          <c:h val="0.166705585404827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82521234661172E-2"/>
          <c:y val="2.4506238090101752E-2"/>
          <c:w val="0.91946515060425349"/>
          <c:h val="0.76596728148707438"/>
        </c:manualLayout>
      </c:layout>
      <c:lineChart>
        <c:grouping val="standard"/>
        <c:varyColors val="0"/>
        <c:ser>
          <c:idx val="0"/>
          <c:order val="0"/>
          <c:tx>
            <c:strRef>
              <c:f>'SD_DP (f)'!$F$10</c:f>
              <c:strCache>
                <c:ptCount val="1"/>
                <c:pt idx="0">
                  <c:v>Discretionary target setting</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75FF-4597-844E-56568636F04B}"/>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75FF-4597-844E-56568636F04B}"/>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75FF-4597-844E-56568636F04B}"/>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75FF-4597-844E-56568636F04B}"/>
                </c:ext>
              </c:extLst>
            </c:dLbl>
            <c:dLbl>
              <c:idx val="8"/>
              <c:delete val="1"/>
              <c:extLst>
                <c:ext xmlns:c15="http://schemas.microsoft.com/office/drawing/2012/chart" uri="{CE6537A1-D6FC-4f65-9D91-7224C49458BB}"/>
                <c:ext xmlns:c16="http://schemas.microsoft.com/office/drawing/2014/chart" uri="{C3380CC4-5D6E-409C-BE32-E72D297353CC}">
                  <c16:uniqueId val="{00000004-75FF-4597-844E-56568636F04B}"/>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(f)'!$G$10:$O$10</c:f>
              <c:numCache>
                <c:formatCode>0.0%</c:formatCode>
                <c:ptCount val="9"/>
                <c:pt idx="0">
                  <c:v>0</c:v>
                </c:pt>
                <c:pt idx="1">
                  <c:v>0</c:v>
                </c:pt>
                <c:pt idx="2">
                  <c:v>0</c:v>
                </c:pt>
                <c:pt idx="3">
                  <c:v>0</c:v>
                </c:pt>
                <c:pt idx="8">
                  <c:v>0</c:v>
                </c:pt>
              </c:numCache>
            </c:numRef>
          </c:val>
          <c:smooth val="0"/>
          <c:extLst>
            <c:ext xmlns:c16="http://schemas.microsoft.com/office/drawing/2014/chart" uri="{C3380CC4-5D6E-409C-BE32-E72D297353CC}">
              <c16:uniqueId val="{00000005-75FF-4597-844E-56568636F04B}"/>
            </c:ext>
          </c:extLst>
        </c:ser>
        <c:ser>
          <c:idx val="1"/>
          <c:order val="1"/>
          <c:tx>
            <c:strRef>
              <c:f>'SD_DP (f)'!$F$11</c:f>
              <c:strCache>
                <c:ptCount val="1"/>
                <c:pt idx="0">
                  <c:v>Linear/stepped approach - Dividend payout ratio</c:v>
                </c:pt>
              </c:strCache>
            </c:strRef>
          </c:tx>
          <c:spPr>
            <a:ln w="12700" cap="rnd">
              <a:solidFill>
                <a:schemeClr val="accent2"/>
              </a:solidFill>
              <a:prstDash val="sysDash"/>
              <a:round/>
            </a:ln>
            <a:effectLst/>
          </c:spPr>
          <c:marker>
            <c:symbol val="square"/>
            <c:size val="5"/>
            <c:spPr>
              <a:solidFill>
                <a:schemeClr val="accent2"/>
              </a:solidFill>
              <a:ln w="9525">
                <a:noFill/>
              </a:ln>
              <a:effectLst/>
            </c:spPr>
          </c:marker>
          <c:dPt>
            <c:idx val="3"/>
            <c:marker>
              <c:symbol val="x"/>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6-75FF-4597-844E-56568636F04B}"/>
              </c:ext>
            </c:extLst>
          </c:dPt>
          <c:dLbls>
            <c:dLbl>
              <c:idx val="3"/>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75FF-4597-844E-56568636F04B}"/>
                </c:ext>
              </c:extLst>
            </c:dLbl>
            <c:dLbl>
              <c:idx val="8"/>
              <c:delete val="1"/>
              <c:extLst>
                <c:ext xmlns:c15="http://schemas.microsoft.com/office/drawing/2012/chart" uri="{CE6537A1-D6FC-4f65-9D91-7224C49458BB}"/>
                <c:ext xmlns:c16="http://schemas.microsoft.com/office/drawing/2014/chart" uri="{C3380CC4-5D6E-409C-BE32-E72D297353CC}">
                  <c16:uniqueId val="{00000007-75FF-4597-844E-56568636F04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(f)'!$G$11:$O$11</c:f>
              <c:numCache>
                <c:formatCode>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8-75FF-4597-844E-56568636F04B}"/>
            </c:ext>
          </c:extLst>
        </c:ser>
        <c:ser>
          <c:idx val="2"/>
          <c:order val="2"/>
          <c:tx>
            <c:strRef>
              <c:f>'SD_DP (f)'!$F$12</c:f>
              <c:strCache>
                <c:ptCount val="1"/>
                <c:pt idx="0">
                  <c:v>Benchmark value CY+5</c:v>
                </c:pt>
              </c:strCache>
            </c:strRef>
          </c:tx>
          <c:spPr>
            <a:ln w="28575" cap="rnd">
              <a:noFill/>
              <a:round/>
            </a:ln>
            <a:effectLst/>
          </c:spPr>
          <c:marker>
            <c:symbol val="square"/>
            <c:size val="5"/>
            <c:spPr>
              <a:solidFill>
                <a:schemeClr val="tx1">
                  <a:lumMod val="75000"/>
                  <a:lumOff val="25000"/>
                </a:schemeClr>
              </a:solidFill>
              <a:ln w="9525">
                <a:noFill/>
              </a:ln>
              <a:effectLst/>
            </c:spPr>
          </c:marker>
          <c:dLbls>
            <c:numFmt formatCode="0.0%" sourceLinked="0"/>
            <c:spPr>
              <a:noFill/>
              <a:ln>
                <a:noFill/>
              </a:ln>
              <a:effectLst/>
            </c:spPr>
            <c:txPr>
              <a:bodyPr rot="0" spcFirstLastPara="1" vertOverflow="ellipsis" vert="horz" wrap="square" anchor="ctr" anchorCtr="1"/>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(f)'!$G$12:$O$12</c:f>
              <c:numCache>
                <c:formatCode>0.0%</c:formatCode>
                <c:ptCount val="9"/>
                <c:pt idx="8">
                  <c:v>0</c:v>
                </c:pt>
              </c:numCache>
            </c:numRef>
          </c:val>
          <c:smooth val="0"/>
          <c:extLst>
            <c:ext xmlns:c16="http://schemas.microsoft.com/office/drawing/2014/chart" uri="{C3380CC4-5D6E-409C-BE32-E72D297353CC}">
              <c16:uniqueId val="{00000009-75FF-4597-844E-56568636F04B}"/>
            </c:ext>
          </c:extLst>
        </c:ser>
        <c:ser>
          <c:idx val="4"/>
          <c:order val="3"/>
          <c:tx>
            <c:strRef>
              <c:f>'SD_DP (f)'!$F$14</c:f>
              <c:strCache>
                <c:ptCount val="1"/>
                <c:pt idx="0">
                  <c:v>Acceptable deviation upper bracket according to CSCC guidelines</c:v>
                </c:pt>
              </c:strCache>
            </c:strRef>
          </c:tx>
          <c:spPr>
            <a:ln w="28575" cap="rnd">
              <a:noFill/>
              <a:round/>
            </a:ln>
            <a:effectLst/>
          </c:spPr>
          <c:marker>
            <c:symbol val="circle"/>
            <c:size val="5"/>
            <c:spPr>
              <a:solidFill>
                <a:schemeClr val="accent5"/>
              </a:solidFill>
              <a:ln w="9525">
                <a:solidFill>
                  <a:schemeClr val="accent5"/>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(f)'!$G$14:$O$14</c:f>
              <c:numCache>
                <c:formatCode>0.0%</c:formatCode>
                <c:ptCount val="9"/>
                <c:pt idx="8">
                  <c:v>0</c:v>
                </c:pt>
              </c:numCache>
            </c:numRef>
          </c:val>
          <c:smooth val="0"/>
          <c:extLst>
            <c:ext xmlns:c16="http://schemas.microsoft.com/office/drawing/2014/chart" uri="{C3380CC4-5D6E-409C-BE32-E72D297353CC}">
              <c16:uniqueId val="{0000000A-75FF-4597-844E-56568636F04B}"/>
            </c:ext>
          </c:extLst>
        </c:ser>
        <c:ser>
          <c:idx val="3"/>
          <c:order val="4"/>
          <c:tx>
            <c:strRef>
              <c:f>'SD_DP (f)'!$F$13</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(f)'!$G$13:$O$13</c:f>
              <c:numCache>
                <c:formatCode>0.0%</c:formatCode>
                <c:ptCount val="9"/>
                <c:pt idx="8" formatCode="0.00%">
                  <c:v>0</c:v>
                </c:pt>
              </c:numCache>
            </c:numRef>
          </c:val>
          <c:smooth val="0"/>
          <c:extLst>
            <c:ext xmlns:c16="http://schemas.microsoft.com/office/drawing/2014/chart" uri="{C3380CC4-5D6E-409C-BE32-E72D297353CC}">
              <c16:uniqueId val="{0000000B-75FF-4597-844E-56568636F04B}"/>
            </c:ext>
          </c:extLst>
        </c:ser>
        <c:dLbls>
          <c:showLegendKey val="0"/>
          <c:showVal val="0"/>
          <c:showCatName val="0"/>
          <c:showSerName val="0"/>
          <c:showPercent val="0"/>
          <c:showBubbleSize val="0"/>
        </c:dLbls>
        <c:marker val="1"/>
        <c:smooth val="0"/>
        <c:axId val="1177901008"/>
        <c:axId val="762762320"/>
      </c:lineChart>
      <c:catAx>
        <c:axId val="11779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6887397979362169"/>
          <c:w val="1"/>
          <c:h val="0.1311260202063782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717877951548602E-2"/>
          <c:y val="3.9118110236220478E-2"/>
          <c:w val="0.96028212204845143"/>
          <c:h val="0.72578463308524788"/>
        </c:manualLayout>
      </c:layout>
      <c:lineChart>
        <c:grouping val="standard"/>
        <c:varyColors val="0"/>
        <c:ser>
          <c:idx val="0"/>
          <c:order val="0"/>
          <c:tx>
            <c:strRef>
              <c:f>'SD_CS (f)'!$F$10</c:f>
              <c:strCache>
                <c:ptCount val="1"/>
                <c:pt idx="0">
                  <c:v>Discretionary target setting</c:v>
                </c:pt>
              </c:strCache>
            </c:strRef>
          </c:tx>
          <c:spPr>
            <a:ln w="12700" cap="rnd">
              <a:solidFill>
                <a:schemeClr val="accent2"/>
              </a:solidFill>
              <a:round/>
            </a:ln>
            <a:effectLst/>
          </c:spPr>
          <c:marker>
            <c:symbol val="square"/>
            <c:size val="5"/>
            <c:spPr>
              <a:noFill/>
              <a:ln w="9525">
                <a:solidFill>
                  <a:schemeClr val="accent2"/>
                </a:solidFill>
              </a:ln>
              <a:effectLst/>
            </c:spPr>
          </c:marker>
          <c:dPt>
            <c:idx val="0"/>
            <c:marker>
              <c:symbol val="square"/>
              <c:size val="5"/>
              <c:spPr>
                <a:noFill/>
                <a:ln w="9525">
                  <a:solidFill>
                    <a:schemeClr val="accent5"/>
                  </a:solidFill>
                </a:ln>
                <a:effectLst/>
              </c:spPr>
            </c:marker>
            <c:bubble3D val="0"/>
            <c:extLst>
              <c:ext xmlns:c16="http://schemas.microsoft.com/office/drawing/2014/chart" uri="{C3380CC4-5D6E-409C-BE32-E72D297353CC}">
                <c16:uniqueId val="{00000000-A39F-4097-B5BF-A0AA8E99067C}"/>
              </c:ext>
            </c:extLst>
          </c:dPt>
          <c:dPt>
            <c:idx val="3"/>
            <c:marker>
              <c:symbol val="square"/>
              <c:size val="5"/>
              <c:spPr>
                <a:noFill/>
                <a:ln w="9525">
                  <a:solidFill>
                    <a:schemeClr val="accent2"/>
                  </a:solidFill>
                </a:ln>
                <a:effectLst/>
              </c:spPr>
            </c:marker>
            <c:bubble3D val="0"/>
            <c:extLst>
              <c:ext xmlns:c16="http://schemas.microsoft.com/office/drawing/2014/chart" uri="{C3380CC4-5D6E-409C-BE32-E72D297353CC}">
                <c16:uniqueId val="{00000001-A39F-4097-B5BF-A0AA8E99067C}"/>
              </c:ext>
            </c:extLst>
          </c:dPt>
          <c:dLbls>
            <c:dLbl>
              <c:idx val="0"/>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A39F-4097-B5BF-A0AA8E99067C}"/>
                </c:ext>
              </c:extLst>
            </c:dLbl>
            <c:dLbl>
              <c:idx val="1"/>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A39F-4097-B5BF-A0AA8E99067C}"/>
                </c:ext>
              </c:extLst>
            </c:dLbl>
            <c:dLbl>
              <c:idx val="2"/>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A39F-4097-B5BF-A0AA8E99067C}"/>
                </c:ext>
              </c:extLst>
            </c:dLbl>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A39F-4097-B5BF-A0AA8E99067C}"/>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A39F-4097-B5BF-A0AA8E99067C}"/>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A39F-4097-B5BF-A0AA8E99067C}"/>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A39F-4097-B5BF-A0AA8E99067C}"/>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A39F-4097-B5BF-A0AA8E99067C}"/>
                </c:ext>
              </c:extLst>
            </c:dLbl>
            <c:dLbl>
              <c:idx val="8"/>
              <c:delete val="1"/>
              <c:extLst>
                <c:ext xmlns:c15="http://schemas.microsoft.com/office/drawing/2012/chart" uri="{CE6537A1-D6FC-4f65-9D91-7224C49458BB}"/>
                <c:ext xmlns:c16="http://schemas.microsoft.com/office/drawing/2014/chart" uri="{C3380CC4-5D6E-409C-BE32-E72D297353CC}">
                  <c16:uniqueId val="{00000008-A39F-4097-B5BF-A0AA8E99067C}"/>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(f)'!$G$10:$O$10</c:f>
              <c:numCache>
                <c:formatCode>0.00</c:formatCode>
                <c:ptCount val="9"/>
                <c:pt idx="0">
                  <c:v>0</c:v>
                </c:pt>
                <c:pt idx="1">
                  <c:v>0</c:v>
                </c:pt>
                <c:pt idx="2">
                  <c:v>0</c:v>
                </c:pt>
                <c:pt idx="3">
                  <c:v>0</c:v>
                </c:pt>
                <c:pt idx="8">
                  <c:v>0</c:v>
                </c:pt>
              </c:numCache>
            </c:numRef>
          </c:val>
          <c:smooth val="0"/>
          <c:extLst>
            <c:ext xmlns:c16="http://schemas.microsoft.com/office/drawing/2014/chart" uri="{C3380CC4-5D6E-409C-BE32-E72D297353CC}">
              <c16:uniqueId val="{00000009-A39F-4097-B5BF-A0AA8E99067C}"/>
            </c:ext>
          </c:extLst>
        </c:ser>
        <c:ser>
          <c:idx val="1"/>
          <c:order val="1"/>
          <c:tx>
            <c:strRef>
              <c:f>'SD_CS (f)'!$F$11</c:f>
              <c:strCache>
                <c:ptCount val="1"/>
                <c:pt idx="0">
                  <c:v>Linear/stepped approach - D|E</c:v>
                </c:pt>
              </c:strCache>
            </c:strRef>
          </c:tx>
          <c:spPr>
            <a:ln w="12700" cap="rnd">
              <a:solidFill>
                <a:schemeClr val="accent2"/>
              </a:solidFill>
              <a:prstDash val="sysDash"/>
              <a:round/>
            </a:ln>
            <a:effectLst/>
          </c:spPr>
          <c:marker>
            <c:symbol val="square"/>
            <c:size val="5"/>
            <c:spPr>
              <a:solidFill>
                <a:schemeClr val="accent2"/>
              </a:solidFill>
              <a:ln w="9525">
                <a:no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B-A39F-4097-B5BF-A0AA8E99067C}"/>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B-A39F-4097-B5BF-A0AA8E99067C}"/>
                </c:ext>
              </c:extLst>
            </c:dLbl>
            <c:dLbl>
              <c:idx val="8"/>
              <c:delete val="1"/>
              <c:extLst>
                <c:ext xmlns:c15="http://schemas.microsoft.com/office/drawing/2012/chart" uri="{CE6537A1-D6FC-4f65-9D91-7224C49458BB}"/>
                <c:ext xmlns:c16="http://schemas.microsoft.com/office/drawing/2014/chart" uri="{C3380CC4-5D6E-409C-BE32-E72D297353CC}">
                  <c16:uniqueId val="{0000000C-A39F-4097-B5BF-A0AA8E99067C}"/>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(f)'!$G$11:$O$11</c:f>
              <c:numCache>
                <c:formatCode>0.00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D-A39F-4097-B5BF-A0AA8E99067C}"/>
            </c:ext>
          </c:extLst>
        </c:ser>
        <c:ser>
          <c:idx val="2"/>
          <c:order val="2"/>
          <c:tx>
            <c:strRef>
              <c:f>'SD_CS (f)'!$F$12</c:f>
              <c:strCache>
                <c:ptCount val="1"/>
                <c:pt idx="0">
                  <c:v>Benchmark value CY+5</c:v>
                </c:pt>
              </c:strCache>
            </c:strRef>
          </c:tx>
          <c:spPr>
            <a:ln w="28575" cap="rnd">
              <a:noFill/>
              <a:round/>
            </a:ln>
            <a:effectLst/>
          </c:spPr>
          <c:marker>
            <c:symbol val="square"/>
            <c:size val="5"/>
            <c:spPr>
              <a:solidFill>
                <a:schemeClr val="tx1">
                  <a:lumMod val="75000"/>
                  <a:lumOff val="25000"/>
                </a:schemeClr>
              </a:solidFill>
              <a:ln w="9525">
                <a:solidFill>
                  <a:schemeClr val="tx1">
                    <a:lumMod val="75000"/>
                    <a:lumOff val="25000"/>
                  </a:schemeClr>
                </a:solidFill>
              </a:ln>
              <a:effectLst/>
            </c:spPr>
          </c:marker>
          <c:dPt>
            <c:idx val="8"/>
            <c:marker>
              <c:symbol val="square"/>
              <c:size val="5"/>
              <c:spPr>
                <a:solidFill>
                  <a:schemeClr val="tx1">
                    <a:lumMod val="75000"/>
                    <a:lumOff val="25000"/>
                  </a:schemeClr>
                </a:solidFill>
                <a:ln w="9525">
                  <a:solidFill>
                    <a:schemeClr val="tx1">
                      <a:lumMod val="75000"/>
                      <a:lumOff val="25000"/>
                    </a:schemeClr>
                  </a:solidFill>
                </a:ln>
                <a:effectLst/>
              </c:spPr>
            </c:marker>
            <c:bubble3D val="0"/>
            <c:spPr>
              <a:ln w="28575" cap="rnd">
                <a:noFill/>
                <a:round/>
              </a:ln>
              <a:effectLst/>
            </c:spPr>
            <c:extLst>
              <c:ext xmlns:c16="http://schemas.microsoft.com/office/drawing/2014/chart" uri="{C3380CC4-5D6E-409C-BE32-E72D297353CC}">
                <c16:uniqueId val="{0000000F-A39F-4097-B5BF-A0AA8E99067C}"/>
              </c:ext>
            </c:extLst>
          </c:dPt>
          <c:dLbls>
            <c:dLbl>
              <c:idx val="8"/>
              <c:numFmt formatCode="#,##0.00" sourceLinked="0"/>
              <c:spPr>
                <a:noFill/>
                <a:ln>
                  <a:noFill/>
                </a:ln>
                <a:effectLst/>
              </c:spPr>
              <c:txPr>
                <a:bodyPr rot="0" spcFirstLastPara="1" vertOverflow="ellipsis" vert="horz" wrap="square" anchor="ctr" anchorCtr="1"/>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0F-A39F-4097-B5BF-A0AA8E99067C}"/>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(f)'!$G$12:$O$12</c:f>
              <c:numCache>
                <c:formatCode>0.00</c:formatCode>
                <c:ptCount val="9"/>
                <c:pt idx="8">
                  <c:v>0</c:v>
                </c:pt>
              </c:numCache>
            </c:numRef>
          </c:val>
          <c:smooth val="0"/>
          <c:extLst>
            <c:ext xmlns:c16="http://schemas.microsoft.com/office/drawing/2014/chart" uri="{C3380CC4-5D6E-409C-BE32-E72D297353CC}">
              <c16:uniqueId val="{00000010-A39F-4097-B5BF-A0AA8E99067C}"/>
            </c:ext>
          </c:extLst>
        </c:ser>
        <c:ser>
          <c:idx val="3"/>
          <c:order val="3"/>
          <c:tx>
            <c:strRef>
              <c:f>'SD_CS (f)'!$F$13</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(f)'!$G$13:$O$13</c:f>
              <c:numCache>
                <c:formatCode>0.00</c:formatCode>
                <c:ptCount val="9"/>
                <c:pt idx="8">
                  <c:v>0</c:v>
                </c:pt>
              </c:numCache>
            </c:numRef>
          </c:val>
          <c:smooth val="0"/>
          <c:extLst>
            <c:ext xmlns:c16="http://schemas.microsoft.com/office/drawing/2014/chart" uri="{C3380CC4-5D6E-409C-BE32-E72D297353CC}">
              <c16:uniqueId val="{00000011-A39F-4097-B5BF-A0AA8E99067C}"/>
            </c:ext>
          </c:extLst>
        </c:ser>
        <c:ser>
          <c:idx val="4"/>
          <c:order val="4"/>
          <c:tx>
            <c:strRef>
              <c:f>'SD_CS (f)'!$F$14</c:f>
              <c:strCache>
                <c:ptCount val="1"/>
                <c:pt idx="0">
                  <c:v>Acceptable deviation upper bracket according to CSCC guidelines</c:v>
                </c:pt>
              </c:strCache>
            </c:strRef>
          </c:tx>
          <c:spPr>
            <a:ln w="28575" cap="rnd">
              <a:noFill/>
              <a:round/>
            </a:ln>
            <a:effectLst/>
          </c:spPr>
          <c:marker>
            <c:symbol val="circle"/>
            <c:size val="5"/>
            <c:spPr>
              <a:solidFill>
                <a:schemeClr val="accent5"/>
              </a:solidFill>
              <a:ln w="9525">
                <a:solidFill>
                  <a:schemeClr val="accent5"/>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'SD_CS (f)'!$G$9:$O$9</c:f>
              <c:strCache>
                <c:ptCount val="9"/>
                <c:pt idx="0">
                  <c:v>CY-3</c:v>
                </c:pt>
                <c:pt idx="1">
                  <c:v>CY-2</c:v>
                </c:pt>
                <c:pt idx="2">
                  <c:v>CY-1</c:v>
                </c:pt>
                <c:pt idx="3">
                  <c:v>CY</c:v>
                </c:pt>
                <c:pt idx="4">
                  <c:v>CY+1</c:v>
                </c:pt>
                <c:pt idx="5">
                  <c:v>CY+2</c:v>
                </c:pt>
                <c:pt idx="6">
                  <c:v>CY+3</c:v>
                </c:pt>
                <c:pt idx="7">
                  <c:v>CY+4</c:v>
                </c:pt>
                <c:pt idx="8">
                  <c:v>CY+5</c:v>
                </c:pt>
              </c:strCache>
            </c:strRef>
          </c:cat>
          <c:val>
            <c:numRef>
              <c:f>'SD_CS (f)'!$G$14:$O$14</c:f>
              <c:numCache>
                <c:formatCode>0.00</c:formatCode>
                <c:ptCount val="9"/>
                <c:pt idx="8">
                  <c:v>0</c:v>
                </c:pt>
              </c:numCache>
            </c:numRef>
          </c:val>
          <c:smooth val="0"/>
          <c:extLst>
            <c:ext xmlns:c16="http://schemas.microsoft.com/office/drawing/2014/chart" uri="{C3380CC4-5D6E-409C-BE32-E72D297353CC}">
              <c16:uniqueId val="{00000012-A39F-4097-B5BF-A0AA8E99067C}"/>
            </c:ext>
          </c:extLst>
        </c:ser>
        <c:dLbls>
          <c:showLegendKey val="0"/>
          <c:showVal val="0"/>
          <c:showCatName val="0"/>
          <c:showSerName val="0"/>
          <c:showPercent val="0"/>
          <c:showBubbleSize val="0"/>
        </c:dLbls>
        <c:marker val="1"/>
        <c:smooth val="0"/>
        <c:axId val="1177901008"/>
        <c:axId val="762762320"/>
      </c:lineChart>
      <c:catAx>
        <c:axId val="11779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6887397979362169"/>
          <c:w val="1"/>
          <c:h val="0.1274730521698486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82521234661172E-2"/>
          <c:y val="2.4506238090101752E-2"/>
          <c:w val="0.91946515060425349"/>
          <c:h val="0.76596728148707438"/>
        </c:manualLayout>
      </c:layout>
      <c:lineChart>
        <c:grouping val="standard"/>
        <c:varyColors val="0"/>
        <c:ser>
          <c:idx val="0"/>
          <c:order val="0"/>
          <c:tx>
            <c:strRef>
              <c:f>'SD_DP (f)'!$F$10</c:f>
              <c:strCache>
                <c:ptCount val="1"/>
                <c:pt idx="0">
                  <c:v>Discretionary target setting</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28DB-4408-87B0-FB0E1141A028}"/>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28DB-4408-87B0-FB0E1141A028}"/>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28DB-4408-87B0-FB0E1141A028}"/>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28DB-4408-87B0-FB0E1141A028}"/>
                </c:ext>
              </c:extLst>
            </c:dLbl>
            <c:dLbl>
              <c:idx val="8"/>
              <c:delete val="1"/>
              <c:extLst>
                <c:ext xmlns:c15="http://schemas.microsoft.com/office/drawing/2012/chart" uri="{CE6537A1-D6FC-4f65-9D91-7224C49458BB}"/>
                <c:ext xmlns:c16="http://schemas.microsoft.com/office/drawing/2014/chart" uri="{C3380CC4-5D6E-409C-BE32-E72D297353CC}">
                  <c16:uniqueId val="{00000004-28DB-4408-87B0-FB0E1141A028}"/>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(f)'!$G$10:$O$10</c:f>
              <c:numCache>
                <c:formatCode>0.0%</c:formatCode>
                <c:ptCount val="9"/>
                <c:pt idx="0">
                  <c:v>0</c:v>
                </c:pt>
                <c:pt idx="1">
                  <c:v>0</c:v>
                </c:pt>
                <c:pt idx="2">
                  <c:v>0</c:v>
                </c:pt>
                <c:pt idx="3">
                  <c:v>0</c:v>
                </c:pt>
                <c:pt idx="8">
                  <c:v>0</c:v>
                </c:pt>
              </c:numCache>
            </c:numRef>
          </c:val>
          <c:smooth val="0"/>
          <c:extLst>
            <c:ext xmlns:c16="http://schemas.microsoft.com/office/drawing/2014/chart" uri="{C3380CC4-5D6E-409C-BE32-E72D297353CC}">
              <c16:uniqueId val="{00000005-28DB-4408-87B0-FB0E1141A028}"/>
            </c:ext>
          </c:extLst>
        </c:ser>
        <c:ser>
          <c:idx val="1"/>
          <c:order val="1"/>
          <c:tx>
            <c:strRef>
              <c:f>'SD_DP (f)'!$F$11</c:f>
              <c:strCache>
                <c:ptCount val="1"/>
                <c:pt idx="0">
                  <c:v>Linear/stepped approach - Dividend payout ratio</c:v>
                </c:pt>
              </c:strCache>
            </c:strRef>
          </c:tx>
          <c:spPr>
            <a:ln w="12700" cap="rnd">
              <a:solidFill>
                <a:schemeClr val="accent2"/>
              </a:solidFill>
              <a:prstDash val="sysDash"/>
              <a:round/>
            </a:ln>
            <a:effectLst/>
          </c:spPr>
          <c:marker>
            <c:symbol val="square"/>
            <c:size val="5"/>
            <c:spPr>
              <a:solidFill>
                <a:schemeClr val="accent2"/>
              </a:solidFill>
              <a:ln w="9525">
                <a:noFill/>
              </a:ln>
              <a:effectLst/>
            </c:spPr>
          </c:marker>
          <c:dPt>
            <c:idx val="3"/>
            <c:marker>
              <c:symbol val="x"/>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6-28DB-4408-87B0-FB0E1141A028}"/>
              </c:ext>
            </c:extLst>
          </c:dPt>
          <c:dLbls>
            <c:dLbl>
              <c:idx val="3"/>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28DB-4408-87B0-FB0E1141A028}"/>
                </c:ext>
              </c:extLst>
            </c:dLbl>
            <c:dLbl>
              <c:idx val="8"/>
              <c:delete val="1"/>
              <c:extLst>
                <c:ext xmlns:c15="http://schemas.microsoft.com/office/drawing/2012/chart" uri="{CE6537A1-D6FC-4f65-9D91-7224C49458BB}"/>
                <c:ext xmlns:c16="http://schemas.microsoft.com/office/drawing/2014/chart" uri="{C3380CC4-5D6E-409C-BE32-E72D297353CC}">
                  <c16:uniqueId val="{00000007-28DB-4408-87B0-FB0E1141A02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(f)'!$G$11:$O$11</c:f>
              <c:numCache>
                <c:formatCode>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8-28DB-4408-87B0-FB0E1141A028}"/>
            </c:ext>
          </c:extLst>
        </c:ser>
        <c:ser>
          <c:idx val="2"/>
          <c:order val="2"/>
          <c:tx>
            <c:strRef>
              <c:f>'SD_DP (f)'!$F$12</c:f>
              <c:strCache>
                <c:ptCount val="1"/>
                <c:pt idx="0">
                  <c:v>Benchmark value CY+5</c:v>
                </c:pt>
              </c:strCache>
            </c:strRef>
          </c:tx>
          <c:spPr>
            <a:ln w="28575" cap="rnd">
              <a:noFill/>
              <a:round/>
            </a:ln>
            <a:effectLst/>
          </c:spPr>
          <c:marker>
            <c:symbol val="square"/>
            <c:size val="5"/>
            <c:spPr>
              <a:solidFill>
                <a:schemeClr val="tx1">
                  <a:lumMod val="75000"/>
                  <a:lumOff val="25000"/>
                </a:schemeClr>
              </a:solidFill>
              <a:ln w="9525">
                <a:noFill/>
              </a:ln>
              <a:effectLst/>
            </c:spPr>
          </c:marker>
          <c:dLbls>
            <c:numFmt formatCode="0.0%" sourceLinked="0"/>
            <c:spPr>
              <a:noFill/>
              <a:ln>
                <a:noFill/>
              </a:ln>
              <a:effectLst/>
            </c:spPr>
            <c:txPr>
              <a:bodyPr rot="0" spcFirstLastPara="1" vertOverflow="ellipsis" vert="horz" wrap="square" anchor="ctr" anchorCtr="1"/>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(f)'!$G$12:$O$12</c:f>
              <c:numCache>
                <c:formatCode>0.0%</c:formatCode>
                <c:ptCount val="9"/>
                <c:pt idx="8">
                  <c:v>0</c:v>
                </c:pt>
              </c:numCache>
            </c:numRef>
          </c:val>
          <c:smooth val="0"/>
          <c:extLst>
            <c:ext xmlns:c16="http://schemas.microsoft.com/office/drawing/2014/chart" uri="{C3380CC4-5D6E-409C-BE32-E72D297353CC}">
              <c16:uniqueId val="{00000009-28DB-4408-87B0-FB0E1141A028}"/>
            </c:ext>
          </c:extLst>
        </c:ser>
        <c:ser>
          <c:idx val="4"/>
          <c:order val="3"/>
          <c:tx>
            <c:strRef>
              <c:f>'SD_DP (f)'!$F$14</c:f>
              <c:strCache>
                <c:ptCount val="1"/>
                <c:pt idx="0">
                  <c:v>Acceptable deviation upper bracket according to CSCC guidelines</c:v>
                </c:pt>
              </c:strCache>
            </c:strRef>
          </c:tx>
          <c:spPr>
            <a:ln w="28575" cap="rnd">
              <a:noFill/>
              <a:round/>
            </a:ln>
            <a:effectLst/>
          </c:spPr>
          <c:marker>
            <c:symbol val="circle"/>
            <c:size val="5"/>
            <c:spPr>
              <a:solidFill>
                <a:schemeClr val="accent5"/>
              </a:solidFill>
              <a:ln w="9525">
                <a:solidFill>
                  <a:schemeClr val="accent5"/>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(f)'!$G$14:$O$14</c:f>
              <c:numCache>
                <c:formatCode>0.0%</c:formatCode>
                <c:ptCount val="9"/>
                <c:pt idx="8">
                  <c:v>0</c:v>
                </c:pt>
              </c:numCache>
            </c:numRef>
          </c:val>
          <c:smooth val="0"/>
          <c:extLst>
            <c:ext xmlns:c16="http://schemas.microsoft.com/office/drawing/2014/chart" uri="{C3380CC4-5D6E-409C-BE32-E72D297353CC}">
              <c16:uniqueId val="{0000000A-28DB-4408-87B0-FB0E1141A028}"/>
            </c:ext>
          </c:extLst>
        </c:ser>
        <c:ser>
          <c:idx val="3"/>
          <c:order val="4"/>
          <c:tx>
            <c:strRef>
              <c:f>'SD_DP (f)'!$F$13</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'SD_DP (f)'!$G$9:$O$9</c:f>
              <c:strCache>
                <c:ptCount val="9"/>
                <c:pt idx="0">
                  <c:v>CY-3</c:v>
                </c:pt>
                <c:pt idx="1">
                  <c:v>CY-2</c:v>
                </c:pt>
                <c:pt idx="2">
                  <c:v>CY-1</c:v>
                </c:pt>
                <c:pt idx="3">
                  <c:v>CY</c:v>
                </c:pt>
                <c:pt idx="4">
                  <c:v>CY+1</c:v>
                </c:pt>
                <c:pt idx="5">
                  <c:v>CY+2</c:v>
                </c:pt>
                <c:pt idx="6">
                  <c:v>CY+3</c:v>
                </c:pt>
                <c:pt idx="7">
                  <c:v>CY+4</c:v>
                </c:pt>
                <c:pt idx="8">
                  <c:v>CY+5</c:v>
                </c:pt>
              </c:strCache>
            </c:strRef>
          </c:cat>
          <c:val>
            <c:numRef>
              <c:f>'SD_DP (f)'!$G$13:$O$13</c:f>
              <c:numCache>
                <c:formatCode>0.0%</c:formatCode>
                <c:ptCount val="9"/>
                <c:pt idx="8" formatCode="0.00%">
                  <c:v>0</c:v>
                </c:pt>
              </c:numCache>
            </c:numRef>
          </c:val>
          <c:smooth val="0"/>
          <c:extLst>
            <c:ext xmlns:c16="http://schemas.microsoft.com/office/drawing/2014/chart" uri="{C3380CC4-5D6E-409C-BE32-E72D297353CC}">
              <c16:uniqueId val="{0000000B-28DB-4408-87B0-FB0E1141A028}"/>
            </c:ext>
          </c:extLst>
        </c:ser>
        <c:dLbls>
          <c:showLegendKey val="0"/>
          <c:showVal val="0"/>
          <c:showCatName val="0"/>
          <c:showSerName val="0"/>
          <c:showPercent val="0"/>
          <c:showBubbleSize val="0"/>
        </c:dLbls>
        <c:marker val="1"/>
        <c:smooth val="0"/>
        <c:axId val="1177901008"/>
        <c:axId val="762762320"/>
      </c:lineChart>
      <c:catAx>
        <c:axId val="11779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6887397979362169"/>
          <c:w val="1"/>
          <c:h val="0.1311260202063782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23650793650793"/>
          <c:y val="6.0981322963520594E-2"/>
          <c:w val="0.91865985966972652"/>
          <c:h val="0.70846217948717949"/>
        </c:manualLayout>
      </c:layout>
      <c:lineChart>
        <c:grouping val="standard"/>
        <c:varyColors val="0"/>
        <c:ser>
          <c:idx val="3"/>
          <c:order val="0"/>
          <c:tx>
            <c:strRef>
              <c:f>'SD_RT (f)'!$F$23</c:f>
              <c:strCache>
                <c:ptCount val="1"/>
                <c:pt idx="0">
                  <c:v>Discretionary target setting - ROE (commercial)</c:v>
                </c:pt>
              </c:strCache>
            </c:strRef>
          </c:tx>
          <c:spPr>
            <a:ln w="12700" cap="rnd">
              <a:solidFill>
                <a:schemeClr val="accent2"/>
              </a:solidFill>
              <a:round/>
            </a:ln>
            <a:effectLst/>
          </c:spPr>
          <c:marker>
            <c:symbol val="square"/>
            <c:size val="5"/>
            <c:spPr>
              <a:noFill/>
              <a:ln w="9525">
                <a:solidFill>
                  <a:schemeClr val="accent2"/>
                </a:solidFill>
              </a:ln>
              <a:effectLst/>
            </c:spPr>
          </c:marker>
          <c:dPt>
            <c:idx val="3"/>
            <c:marker>
              <c:symbol val="square"/>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0-EE34-4AD6-80E4-4E0A265BEC8F}"/>
              </c:ext>
            </c:extLst>
          </c:dPt>
          <c:dLbls>
            <c:dLbl>
              <c:idx val="0"/>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EE34-4AD6-80E4-4E0A265BEC8F}"/>
                </c:ext>
              </c:extLst>
            </c:dLbl>
            <c:dLbl>
              <c:idx val="1"/>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EE34-4AD6-80E4-4E0A265BEC8F}"/>
                </c:ext>
              </c:extLst>
            </c:dLbl>
            <c:dLbl>
              <c:idx val="2"/>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EE34-4AD6-80E4-4E0A265BEC8F}"/>
                </c:ext>
              </c:extLst>
            </c:dLbl>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EE34-4AD6-80E4-4E0A265BEC8F}"/>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EE34-4AD6-80E4-4E0A265BEC8F}"/>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EE34-4AD6-80E4-4E0A265BEC8F}"/>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EE34-4AD6-80E4-4E0A265BEC8F}"/>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EE34-4AD6-80E4-4E0A265BEC8F}"/>
                </c:ext>
              </c:extLst>
            </c:dLbl>
            <c:dLbl>
              <c:idx val="8"/>
              <c:delete val="1"/>
              <c:extLst>
                <c:ext xmlns:c15="http://schemas.microsoft.com/office/drawing/2012/chart" uri="{CE6537A1-D6FC-4f65-9D91-7224C49458BB}"/>
                <c:ext xmlns:c16="http://schemas.microsoft.com/office/drawing/2014/chart" uri="{C3380CC4-5D6E-409C-BE32-E72D297353CC}">
                  <c16:uniqueId val="{00000008-EE34-4AD6-80E4-4E0A265BEC8F}"/>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'SD_RT (f)'!$G$23:$O$23</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9-EE34-4AD6-80E4-4E0A265BEC8F}"/>
            </c:ext>
          </c:extLst>
        </c:ser>
        <c:ser>
          <c:idx val="2"/>
          <c:order val="1"/>
          <c:tx>
            <c:strRef>
              <c:f>'SD_RT (f)'!$F$24</c:f>
              <c:strCache>
                <c:ptCount val="1"/>
                <c:pt idx="0">
                  <c:v> Linear/stepped approach - ROE (commercial)</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2"/>
                </a:solidFill>
                <a:prstDash val="sysDash"/>
                <a:round/>
              </a:ln>
              <a:effectLst/>
            </c:spPr>
            <c:extLst>
              <c:ext xmlns:c16="http://schemas.microsoft.com/office/drawing/2014/chart" uri="{C3380CC4-5D6E-409C-BE32-E72D297353CC}">
                <c16:uniqueId val="{0000000B-EE34-4AD6-80E4-4E0A265BEC8F}"/>
              </c:ext>
            </c:extLst>
          </c:dPt>
          <c:dPt>
            <c:idx val="4"/>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C-EE34-4AD6-80E4-4E0A265BEC8F}"/>
              </c:ext>
            </c:extLst>
          </c:dPt>
          <c:dPt>
            <c:idx val="5"/>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D-EE34-4AD6-80E4-4E0A265BEC8F}"/>
              </c:ext>
            </c:extLst>
          </c:dPt>
          <c:dPt>
            <c:idx val="6"/>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E-EE34-4AD6-80E4-4E0A265BEC8F}"/>
              </c:ext>
            </c:extLst>
          </c:dPt>
          <c:dPt>
            <c:idx val="7"/>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F-EE34-4AD6-80E4-4E0A265BEC8F}"/>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dLblPos val="r"/>
              <c:showLegendKey val="0"/>
              <c:showVal val="1"/>
              <c:showCatName val="0"/>
              <c:showSerName val="0"/>
              <c:showPercent val="0"/>
              <c:showBubbleSize val="0"/>
              <c:extLst>
                <c:ext xmlns:c16="http://schemas.microsoft.com/office/drawing/2014/chart" uri="{C3380CC4-5D6E-409C-BE32-E72D297353CC}">
                  <c16:uniqueId val="{0000000B-EE34-4AD6-80E4-4E0A265BEC8F}"/>
                </c:ext>
              </c:extLst>
            </c:dLbl>
            <c:dLbl>
              <c:idx val="8"/>
              <c:delete val="1"/>
              <c:extLst>
                <c:ext xmlns:c15="http://schemas.microsoft.com/office/drawing/2012/chart" uri="{CE6537A1-D6FC-4f65-9D91-7224C49458BB}"/>
                <c:ext xmlns:c16="http://schemas.microsoft.com/office/drawing/2014/chart" uri="{C3380CC4-5D6E-409C-BE32-E72D297353CC}">
                  <c16:uniqueId val="{00000010-EE34-4AD6-80E4-4E0A265BEC8F}"/>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'SD_RT (f)'!$G$24:$O$24</c:f>
              <c:numCache>
                <c:formatCode>0.00%</c:formatCode>
                <c:ptCount val="9"/>
                <c:pt idx="3">
                  <c:v>0</c:v>
                </c:pt>
                <c:pt idx="4">
                  <c:v>0</c:v>
                </c:pt>
                <c:pt idx="5">
                  <c:v>0</c:v>
                </c:pt>
                <c:pt idx="6">
                  <c:v>0</c:v>
                </c:pt>
                <c:pt idx="7">
                  <c:v>0</c:v>
                </c:pt>
                <c:pt idx="8" formatCode="0.0000%">
                  <c:v>0</c:v>
                </c:pt>
              </c:numCache>
            </c:numRef>
          </c:val>
          <c:smooth val="0"/>
          <c:extLst>
            <c:ext xmlns:c16="http://schemas.microsoft.com/office/drawing/2014/chart" uri="{C3380CC4-5D6E-409C-BE32-E72D297353CC}">
              <c16:uniqueId val="{00000011-EE34-4AD6-80E4-4E0A265BEC8F}"/>
            </c:ext>
          </c:extLst>
        </c:ser>
        <c:ser>
          <c:idx val="1"/>
          <c:order val="2"/>
          <c:tx>
            <c:strRef>
              <c:f>'SD_RT (f)'!$F$25</c:f>
              <c:strCache>
                <c:ptCount val="1"/>
                <c:pt idx="0">
                  <c:v>Benchmark value (commercial) CY+5</c:v>
                </c:pt>
              </c:strCache>
            </c:strRef>
          </c:tx>
          <c:spPr>
            <a:ln w="25400" cap="rnd">
              <a:noFill/>
              <a:round/>
            </a:ln>
            <a:effectLst/>
          </c:spPr>
          <c:marker>
            <c:symbol val="square"/>
            <c:size val="5"/>
            <c:spPr>
              <a:solidFill>
                <a:schemeClr val="tx1">
                  <a:lumMod val="75000"/>
                  <a:lumOff val="25000"/>
                </a:schemeClr>
              </a:solidFill>
              <a:ln w="9525">
                <a:noFill/>
              </a:ln>
              <a:effectLst/>
            </c:spPr>
          </c:marker>
          <c:dLbls>
            <c:dLbl>
              <c:idx val="8"/>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12-EE34-4AD6-80E4-4E0A265BEC8F}"/>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'SD_RT (f)'!$G$25:$O$25</c:f>
              <c:numCache>
                <c:formatCode>0.00%</c:formatCode>
                <c:ptCount val="9"/>
                <c:pt idx="8">
                  <c:v>0</c:v>
                </c:pt>
              </c:numCache>
            </c:numRef>
          </c:val>
          <c:smooth val="0"/>
          <c:extLst>
            <c:ext xmlns:c16="http://schemas.microsoft.com/office/drawing/2014/chart" uri="{C3380CC4-5D6E-409C-BE32-E72D297353CC}">
              <c16:uniqueId val="{00000013-EE34-4AD6-80E4-4E0A265BEC8F}"/>
            </c:ext>
          </c:extLst>
        </c:ser>
        <c:ser>
          <c:idx val="4"/>
          <c:order val="3"/>
          <c:tx>
            <c:strRef>
              <c:f>'SD_RT (f)'!$F$27</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'COM_RT (f)'!$G$27:$O$27</c:f>
              <c:numCache>
                <c:formatCode>0.00%</c:formatCode>
                <c:ptCount val="9"/>
                <c:pt idx="8">
                  <c:v>0</c:v>
                </c:pt>
              </c:numCache>
            </c:numRef>
          </c:val>
          <c:smooth val="0"/>
          <c:extLst>
            <c:ext xmlns:c16="http://schemas.microsoft.com/office/drawing/2014/chart" uri="{C3380CC4-5D6E-409C-BE32-E72D297353CC}">
              <c16:uniqueId val="{00000014-EE34-4AD6-80E4-4E0A265BEC8F}"/>
            </c:ext>
          </c:extLst>
        </c:ser>
        <c:ser>
          <c:idx val="0"/>
          <c:order val="4"/>
          <c:tx>
            <c:strRef>
              <c:f>'SD_RT (f)'!$F$26</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(f)'!$G$22:$O$22</c:f>
              <c:strCache>
                <c:ptCount val="9"/>
                <c:pt idx="0">
                  <c:v>CY-3</c:v>
                </c:pt>
                <c:pt idx="1">
                  <c:v>CY-2</c:v>
                </c:pt>
                <c:pt idx="2">
                  <c:v>CY-1</c:v>
                </c:pt>
                <c:pt idx="3">
                  <c:v>CY</c:v>
                </c:pt>
                <c:pt idx="4">
                  <c:v>CY+1</c:v>
                </c:pt>
                <c:pt idx="5">
                  <c:v>CY+2</c:v>
                </c:pt>
                <c:pt idx="6">
                  <c:v>CY+3</c:v>
                </c:pt>
                <c:pt idx="7">
                  <c:v>CY+4</c:v>
                </c:pt>
                <c:pt idx="8">
                  <c:v>CY+5</c:v>
                </c:pt>
              </c:strCache>
            </c:strRef>
          </c:cat>
          <c:val>
            <c:numRef>
              <c:f>'SD_RT (f)'!$G$26:$O$26</c:f>
              <c:numCache>
                <c:formatCode>0.00%</c:formatCode>
                <c:ptCount val="9"/>
                <c:pt idx="8">
                  <c:v>0</c:v>
                </c:pt>
              </c:numCache>
            </c:numRef>
          </c:val>
          <c:smooth val="0"/>
          <c:extLst>
            <c:ext xmlns:c16="http://schemas.microsoft.com/office/drawing/2014/chart" uri="{C3380CC4-5D6E-409C-BE32-E72D297353CC}">
              <c16:uniqueId val="{00000015-EE34-4AD6-80E4-4E0A265BEC8F}"/>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850106837606841"/>
          <c:w val="0.98829521539165421"/>
          <c:h val="0.1560455128205128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185666847321037E-2"/>
          <c:y val="3.9512313505790632E-2"/>
          <c:w val="0.91865985966972652"/>
          <c:h val="0.72190310203540176"/>
        </c:manualLayout>
      </c:layout>
      <c:lineChart>
        <c:grouping val="standard"/>
        <c:varyColors val="0"/>
        <c:ser>
          <c:idx val="0"/>
          <c:order val="0"/>
          <c:tx>
            <c:strRef>
              <c:f>'SD_RT (f)'!$F$31</c:f>
              <c:strCache>
                <c:ptCount val="1"/>
                <c:pt idx="0">
                  <c:v>Discretionary target setting - ROE (regulated)</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D47A-4F6A-A1D4-F0B627EF0E44}"/>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D47A-4F6A-A1D4-F0B627EF0E44}"/>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D47A-4F6A-A1D4-F0B627EF0E44}"/>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D47A-4F6A-A1D4-F0B627EF0E44}"/>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D47A-4F6A-A1D4-F0B627EF0E44}"/>
                </c:ext>
              </c:extLst>
            </c:dLbl>
            <c:dLbl>
              <c:idx val="8"/>
              <c:delete val="1"/>
              <c:extLst>
                <c:ext xmlns:c15="http://schemas.microsoft.com/office/drawing/2012/chart" uri="{CE6537A1-D6FC-4f65-9D91-7224C49458BB}"/>
                <c:ext xmlns:c16="http://schemas.microsoft.com/office/drawing/2014/chart" uri="{C3380CC4-5D6E-409C-BE32-E72D297353CC}">
                  <c16:uniqueId val="{00000005-D47A-4F6A-A1D4-F0B627EF0E44}"/>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(f)'!$G$31:$O$31</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6-D47A-4F6A-A1D4-F0B627EF0E44}"/>
            </c:ext>
          </c:extLst>
        </c:ser>
        <c:ser>
          <c:idx val="1"/>
          <c:order val="1"/>
          <c:tx>
            <c:strRef>
              <c:f>'SD_RT (f)'!$F$32</c:f>
              <c:strCache>
                <c:ptCount val="1"/>
                <c:pt idx="0">
                  <c:v> Linear/stepped approach - ROE (regulated)</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8-D47A-4F6A-A1D4-F0B627EF0E44}"/>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8-D47A-4F6A-A1D4-F0B627EF0E44}"/>
                </c:ext>
              </c:extLst>
            </c:dLbl>
            <c:dLbl>
              <c:idx val="8"/>
              <c:delete val="1"/>
              <c:extLst>
                <c:ext xmlns:c15="http://schemas.microsoft.com/office/drawing/2012/chart" uri="{CE6537A1-D6FC-4f65-9D91-7224C49458BB}"/>
                <c:ext xmlns:c16="http://schemas.microsoft.com/office/drawing/2014/chart" uri="{C3380CC4-5D6E-409C-BE32-E72D297353CC}">
                  <c16:uniqueId val="{00000009-D47A-4F6A-A1D4-F0B627EF0E44}"/>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(f)'!$G$32:$O$32</c:f>
              <c:numCache>
                <c:formatCode>0.00%</c:formatCode>
                <c:ptCount val="9"/>
                <c:pt idx="3">
                  <c:v>0</c:v>
                </c:pt>
                <c:pt idx="4">
                  <c:v>0</c:v>
                </c:pt>
                <c:pt idx="5">
                  <c:v>0</c:v>
                </c:pt>
                <c:pt idx="6">
                  <c:v>0</c:v>
                </c:pt>
                <c:pt idx="7">
                  <c:v>0</c:v>
                </c:pt>
                <c:pt idx="8" formatCode="0.00">
                  <c:v>0</c:v>
                </c:pt>
              </c:numCache>
            </c:numRef>
          </c:val>
          <c:smooth val="0"/>
          <c:extLst>
            <c:ext xmlns:c16="http://schemas.microsoft.com/office/drawing/2014/chart" uri="{C3380CC4-5D6E-409C-BE32-E72D297353CC}">
              <c16:uniqueId val="{0000000A-D47A-4F6A-A1D4-F0B627EF0E44}"/>
            </c:ext>
          </c:extLst>
        </c:ser>
        <c:ser>
          <c:idx val="2"/>
          <c:order val="2"/>
          <c:tx>
            <c:strRef>
              <c:f>'SD_RT (f)'!$F$33</c:f>
              <c:strCache>
                <c:ptCount val="1"/>
                <c:pt idx="0">
                  <c:v>Benchmark value (regulated) CY+5</c:v>
                </c:pt>
              </c:strCache>
            </c:strRef>
          </c:tx>
          <c:spPr>
            <a:ln w="25400" cap="rnd">
              <a:noFill/>
              <a:round/>
            </a:ln>
            <a:effectLst/>
          </c:spPr>
          <c:marker>
            <c:symbol val="square"/>
            <c:size val="5"/>
            <c:spPr>
              <a:solidFill>
                <a:schemeClr val="tx1">
                  <a:lumMod val="75000"/>
                  <a:lumOff val="25000"/>
                </a:schemeClr>
              </a:solidFill>
              <a:ln w="9525">
                <a:noFill/>
              </a:ln>
              <a:effectLst/>
            </c:spPr>
          </c:marker>
          <c:dLbls>
            <c:dLbl>
              <c:idx val="8"/>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0B-D47A-4F6A-A1D4-F0B627EF0E44}"/>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(f)'!$G$33:$O$33</c:f>
              <c:numCache>
                <c:formatCode>0.00%</c:formatCode>
                <c:ptCount val="9"/>
                <c:pt idx="8">
                  <c:v>0</c:v>
                </c:pt>
              </c:numCache>
            </c:numRef>
          </c:val>
          <c:smooth val="0"/>
          <c:extLst>
            <c:ext xmlns:c16="http://schemas.microsoft.com/office/drawing/2014/chart" uri="{C3380CC4-5D6E-409C-BE32-E72D297353CC}">
              <c16:uniqueId val="{0000000C-D47A-4F6A-A1D4-F0B627EF0E44}"/>
            </c:ext>
          </c:extLst>
        </c:ser>
        <c:ser>
          <c:idx val="4"/>
          <c:order val="3"/>
          <c:tx>
            <c:strRef>
              <c:f>'SD_RT (f)'!$F$35</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(f)'!$G$35:$O$35</c:f>
              <c:numCache>
                <c:formatCode>0.00%</c:formatCode>
                <c:ptCount val="9"/>
                <c:pt idx="8">
                  <c:v>0</c:v>
                </c:pt>
              </c:numCache>
            </c:numRef>
          </c:val>
          <c:smooth val="0"/>
          <c:extLst>
            <c:ext xmlns:c16="http://schemas.microsoft.com/office/drawing/2014/chart" uri="{C3380CC4-5D6E-409C-BE32-E72D297353CC}">
              <c16:uniqueId val="{0000000D-D47A-4F6A-A1D4-F0B627EF0E44}"/>
            </c:ext>
          </c:extLst>
        </c:ser>
        <c:ser>
          <c:idx val="3"/>
          <c:order val="4"/>
          <c:tx>
            <c:strRef>
              <c:f>'SD_RT (f)'!$F$34</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(f)'!$G$30:$O$30</c:f>
              <c:strCache>
                <c:ptCount val="9"/>
                <c:pt idx="0">
                  <c:v>CY-3</c:v>
                </c:pt>
                <c:pt idx="1">
                  <c:v>CY-2</c:v>
                </c:pt>
                <c:pt idx="2">
                  <c:v>CY-1</c:v>
                </c:pt>
                <c:pt idx="3">
                  <c:v>CY</c:v>
                </c:pt>
                <c:pt idx="4">
                  <c:v>CY+1</c:v>
                </c:pt>
                <c:pt idx="5">
                  <c:v>CY+2</c:v>
                </c:pt>
                <c:pt idx="6">
                  <c:v>CY+3</c:v>
                </c:pt>
                <c:pt idx="7">
                  <c:v>CY+4</c:v>
                </c:pt>
                <c:pt idx="8">
                  <c:v>CY+5</c:v>
                </c:pt>
              </c:strCache>
            </c:strRef>
          </c:cat>
          <c:val>
            <c:numRef>
              <c:f>'SD_RT (f)'!$G$34:$O$34</c:f>
              <c:numCache>
                <c:formatCode>0.00%</c:formatCode>
                <c:ptCount val="9"/>
                <c:pt idx="8">
                  <c:v>0</c:v>
                </c:pt>
              </c:numCache>
            </c:numRef>
          </c:val>
          <c:smooth val="0"/>
          <c:extLst>
            <c:ext xmlns:c16="http://schemas.microsoft.com/office/drawing/2014/chart" uri="{C3380CC4-5D6E-409C-BE32-E72D297353CC}">
              <c16:uniqueId val="{0000000E-D47A-4F6A-A1D4-F0B627EF0E44}"/>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525327666757132"/>
          <c:w val="1"/>
          <c:h val="0.1642563778484291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23650793650793"/>
          <c:y val="6.0981322963520594E-2"/>
          <c:w val="0.91865985966972652"/>
          <c:h val="0.70846217948717949"/>
        </c:manualLayout>
      </c:layout>
      <c:lineChart>
        <c:grouping val="standard"/>
        <c:varyColors val="0"/>
        <c:ser>
          <c:idx val="3"/>
          <c:order val="0"/>
          <c:tx>
            <c:strRef>
              <c:f>'COM_RT (f)'!$F$23</c:f>
              <c:strCache>
                <c:ptCount val="1"/>
                <c:pt idx="0">
                  <c:v>Discretionary target setting - ROE (commercial)</c:v>
                </c:pt>
              </c:strCache>
            </c:strRef>
          </c:tx>
          <c:spPr>
            <a:ln w="12700" cap="rnd">
              <a:solidFill>
                <a:schemeClr val="accent2"/>
              </a:solidFill>
              <a:round/>
            </a:ln>
            <a:effectLst/>
          </c:spPr>
          <c:marker>
            <c:symbol val="square"/>
            <c:size val="5"/>
            <c:spPr>
              <a:noFill/>
              <a:ln w="9525">
                <a:solidFill>
                  <a:schemeClr val="accent2"/>
                </a:solidFill>
              </a:ln>
              <a:effectLst/>
            </c:spPr>
          </c:marker>
          <c:dPt>
            <c:idx val="3"/>
            <c:marker>
              <c:symbol val="square"/>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B-1BCA-4CE3-8A1B-9E46D9F89670}"/>
              </c:ext>
            </c:extLst>
          </c:dPt>
          <c:dLbls>
            <c:dLbl>
              <c:idx val="0"/>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C-1BCA-4CE3-8A1B-9E46D9F89670}"/>
                </c:ext>
              </c:extLst>
            </c:dLbl>
            <c:dLbl>
              <c:idx val="1"/>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D-1BCA-4CE3-8A1B-9E46D9F89670}"/>
                </c:ext>
              </c:extLst>
            </c:dLbl>
            <c:dLbl>
              <c:idx val="2"/>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E-1BCA-4CE3-8A1B-9E46D9F89670}"/>
                </c:ext>
              </c:extLst>
            </c:dLbl>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B-1BCA-4CE3-8A1B-9E46D9F89670}"/>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F-1BCA-4CE3-8A1B-9E46D9F89670}"/>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10-1BCA-4CE3-8A1B-9E46D9F89670}"/>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11-1BCA-4CE3-8A1B-9E46D9F89670}"/>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12-1BCA-4CE3-8A1B-9E46D9F89670}"/>
                </c:ext>
              </c:extLst>
            </c:dLbl>
            <c:dLbl>
              <c:idx val="8"/>
              <c:delete val="1"/>
              <c:extLst>
                <c:ext xmlns:c15="http://schemas.microsoft.com/office/drawing/2012/chart" uri="{CE6537A1-D6FC-4f65-9D91-7224C49458BB}"/>
                <c:ext xmlns:c16="http://schemas.microsoft.com/office/drawing/2014/chart" uri="{C3380CC4-5D6E-409C-BE32-E72D297353CC}">
                  <c16:uniqueId val="{00000008-0410-4393-AF46-86A76876393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(f)'!$G$23:$O$23</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6-1BCA-4CE3-8A1B-9E46D9F89670}"/>
            </c:ext>
          </c:extLst>
        </c:ser>
        <c:ser>
          <c:idx val="2"/>
          <c:order val="1"/>
          <c:tx>
            <c:strRef>
              <c:f>'COM_RT (f)'!$F$24</c:f>
              <c:strCache>
                <c:ptCount val="1"/>
                <c:pt idx="0">
                  <c:v> Linear/stepped approach - ROE (commercial)</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2"/>
                </a:solidFill>
                <a:prstDash val="sysDash"/>
                <a:round/>
              </a:ln>
              <a:effectLst/>
            </c:spPr>
            <c:extLst>
              <c:ext xmlns:c16="http://schemas.microsoft.com/office/drawing/2014/chart" uri="{C3380CC4-5D6E-409C-BE32-E72D297353CC}">
                <c16:uniqueId val="{00000001-71F7-4302-BC0E-835A80E90D73}"/>
              </c:ext>
            </c:extLst>
          </c:dPt>
          <c:dPt>
            <c:idx val="4"/>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A-1BCA-4CE3-8A1B-9E46D9F89670}"/>
              </c:ext>
            </c:extLst>
          </c:dPt>
          <c:dPt>
            <c:idx val="5"/>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9-1BCA-4CE3-8A1B-9E46D9F89670}"/>
              </c:ext>
            </c:extLst>
          </c:dPt>
          <c:dPt>
            <c:idx val="6"/>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7-1BCA-4CE3-8A1B-9E46D9F89670}"/>
              </c:ext>
            </c:extLst>
          </c:dPt>
          <c:dPt>
            <c:idx val="7"/>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8-1BCA-4CE3-8A1B-9E46D9F89670}"/>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dLblPos val="r"/>
              <c:showLegendKey val="0"/>
              <c:showVal val="1"/>
              <c:showCatName val="0"/>
              <c:showSerName val="0"/>
              <c:showPercent val="0"/>
              <c:showBubbleSize val="0"/>
              <c:extLst>
                <c:ext xmlns:c16="http://schemas.microsoft.com/office/drawing/2014/chart" uri="{C3380CC4-5D6E-409C-BE32-E72D297353CC}">
                  <c16:uniqueId val="{00000001-71F7-4302-BC0E-835A80E90D73}"/>
                </c:ext>
              </c:extLst>
            </c:dLbl>
            <c:dLbl>
              <c:idx val="8"/>
              <c:delete val="1"/>
              <c:extLst>
                <c:ext xmlns:c15="http://schemas.microsoft.com/office/drawing/2012/chart" uri="{CE6537A1-D6FC-4f65-9D91-7224C49458BB}"/>
                <c:ext xmlns:c16="http://schemas.microsoft.com/office/drawing/2014/chart" uri="{C3380CC4-5D6E-409C-BE32-E72D297353CC}">
                  <c16:uniqueId val="{00000007-0410-4393-AF46-86A76876393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(f)'!$G$24:$O$24</c:f>
              <c:numCache>
                <c:formatCode>0.00%</c:formatCode>
                <c:ptCount val="9"/>
                <c:pt idx="3">
                  <c:v>0</c:v>
                </c:pt>
                <c:pt idx="4">
                  <c:v>0</c:v>
                </c:pt>
                <c:pt idx="5">
                  <c:v>0</c:v>
                </c:pt>
                <c:pt idx="6">
                  <c:v>0</c:v>
                </c:pt>
                <c:pt idx="7">
                  <c:v>0</c:v>
                </c:pt>
                <c:pt idx="8" formatCode="0.0000%">
                  <c:v>0</c:v>
                </c:pt>
              </c:numCache>
            </c:numRef>
          </c:val>
          <c:smooth val="0"/>
          <c:extLst>
            <c:ext xmlns:c16="http://schemas.microsoft.com/office/drawing/2014/chart" uri="{C3380CC4-5D6E-409C-BE32-E72D297353CC}">
              <c16:uniqueId val="{00000005-1BCA-4CE3-8A1B-9E46D9F89670}"/>
            </c:ext>
          </c:extLst>
        </c:ser>
        <c:ser>
          <c:idx val="1"/>
          <c:order val="2"/>
          <c:tx>
            <c:strRef>
              <c:f>'COM_RT (f)'!$F$25</c:f>
              <c:strCache>
                <c:ptCount val="1"/>
                <c:pt idx="0">
                  <c:v>Benchmark value (commercial) CY+5</c:v>
                </c:pt>
              </c:strCache>
            </c:strRef>
          </c:tx>
          <c:spPr>
            <a:ln w="25400" cap="rnd">
              <a:noFill/>
              <a:round/>
            </a:ln>
            <a:effectLst/>
          </c:spPr>
          <c:marker>
            <c:symbol val="square"/>
            <c:size val="5"/>
            <c:spPr>
              <a:solidFill>
                <a:schemeClr val="tx1">
                  <a:lumMod val="75000"/>
                  <a:lumOff val="25000"/>
                </a:schemeClr>
              </a:solidFill>
              <a:ln w="9525">
                <a:noFill/>
              </a:ln>
              <a:effectLst/>
            </c:spPr>
          </c:marker>
          <c:dLbls>
            <c:dLbl>
              <c:idx val="8"/>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13-1BCA-4CE3-8A1B-9E46D9F8967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(f)'!$G$25:$O$25</c:f>
              <c:numCache>
                <c:formatCode>0.00%</c:formatCode>
                <c:ptCount val="9"/>
                <c:pt idx="8">
                  <c:v>0</c:v>
                </c:pt>
              </c:numCache>
            </c:numRef>
          </c:val>
          <c:smooth val="0"/>
          <c:extLst>
            <c:ext xmlns:c16="http://schemas.microsoft.com/office/drawing/2014/chart" uri="{C3380CC4-5D6E-409C-BE32-E72D297353CC}">
              <c16:uniqueId val="{00000004-1BCA-4CE3-8A1B-9E46D9F89670}"/>
            </c:ext>
          </c:extLst>
        </c:ser>
        <c:ser>
          <c:idx val="4"/>
          <c:order val="3"/>
          <c:tx>
            <c:strRef>
              <c:f>'COM_RT (f)'!$F$27</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(f)'!$G$27:$O$27</c:f>
              <c:numCache>
                <c:formatCode>0.00%</c:formatCode>
                <c:ptCount val="9"/>
                <c:pt idx="8">
                  <c:v>0</c:v>
                </c:pt>
              </c:numCache>
            </c:numRef>
          </c:val>
          <c:smooth val="0"/>
          <c:extLst>
            <c:ext xmlns:c16="http://schemas.microsoft.com/office/drawing/2014/chart" uri="{C3380CC4-5D6E-409C-BE32-E72D297353CC}">
              <c16:uniqueId val="{00000002-1BCA-4CE3-8A1B-9E46D9F89670}"/>
            </c:ext>
          </c:extLst>
        </c:ser>
        <c:ser>
          <c:idx val="0"/>
          <c:order val="4"/>
          <c:tx>
            <c:strRef>
              <c:f>'COM_RT (f)'!$F$26</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(f)'!$G$26:$O$26</c:f>
              <c:numCache>
                <c:formatCode>0.00%</c:formatCode>
                <c:ptCount val="9"/>
                <c:pt idx="8">
                  <c:v>0</c:v>
                </c:pt>
              </c:numCache>
            </c:numRef>
          </c:val>
          <c:smooth val="0"/>
          <c:extLst>
            <c:ext xmlns:c16="http://schemas.microsoft.com/office/drawing/2014/chart" uri="{C3380CC4-5D6E-409C-BE32-E72D297353CC}">
              <c16:uniqueId val="{00000003-1BCA-4CE3-8A1B-9E46D9F89670}"/>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850106837606841"/>
          <c:w val="0.98829521539165421"/>
          <c:h val="0.1560455128205128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03611230759329"/>
          <c:y val="4.480334858072979E-2"/>
          <c:w val="0.91865985966972652"/>
          <c:h val="0.71660320512820508"/>
        </c:manualLayout>
      </c:layout>
      <c:lineChart>
        <c:grouping val="standard"/>
        <c:varyColors val="0"/>
        <c:ser>
          <c:idx val="0"/>
          <c:order val="0"/>
          <c:tx>
            <c:strRef>
              <c:f>'SD_RT (f)'!$F$39</c:f>
              <c:strCache>
                <c:ptCount val="1"/>
                <c:pt idx="0">
                  <c:v>Discretionary target setting - ROE (state financed)</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A4C0-41BE-AD54-8DAF9298B966}"/>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A4C0-41BE-AD54-8DAF9298B966}"/>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A4C0-41BE-AD54-8DAF9298B966}"/>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A4C0-41BE-AD54-8DAF9298B966}"/>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A4C0-41BE-AD54-8DAF9298B966}"/>
                </c:ext>
              </c:extLst>
            </c:dLbl>
            <c:dLbl>
              <c:idx val="8"/>
              <c:delete val="1"/>
              <c:extLst>
                <c:ext xmlns:c15="http://schemas.microsoft.com/office/drawing/2012/chart" uri="{CE6537A1-D6FC-4f65-9D91-7224C49458BB}"/>
                <c:ext xmlns:c16="http://schemas.microsoft.com/office/drawing/2014/chart" uri="{C3380CC4-5D6E-409C-BE32-E72D297353CC}">
                  <c16:uniqueId val="{00000005-A4C0-41BE-AD54-8DAF9298B966}"/>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(f)'!$G$39:$O$39</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6-A4C0-41BE-AD54-8DAF9298B966}"/>
            </c:ext>
          </c:extLst>
        </c:ser>
        <c:ser>
          <c:idx val="1"/>
          <c:order val="1"/>
          <c:tx>
            <c:strRef>
              <c:f>'SD_RT (f)'!$F$40</c:f>
              <c:strCache>
                <c:ptCount val="1"/>
                <c:pt idx="0">
                  <c:v> Linear/stepped approach - ROE (state financed)</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square"/>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7-A4C0-41BE-AD54-8DAF9298B966}"/>
              </c:ext>
            </c:extLst>
          </c:dPt>
          <c:dPt>
            <c:idx val="4"/>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8-A4C0-41BE-AD54-8DAF9298B966}"/>
              </c:ext>
            </c:extLst>
          </c:dPt>
          <c:dPt>
            <c:idx val="5"/>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9-A4C0-41BE-AD54-8DAF9298B966}"/>
              </c:ext>
            </c:extLst>
          </c:dPt>
          <c:dPt>
            <c:idx val="6"/>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A-A4C0-41BE-AD54-8DAF9298B966}"/>
              </c:ext>
            </c:extLst>
          </c:dPt>
          <c:dPt>
            <c:idx val="7"/>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B-A4C0-41BE-AD54-8DAF9298B966}"/>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A4C0-41BE-AD54-8DAF9298B966}"/>
                </c:ext>
              </c:extLst>
            </c:dLbl>
            <c:dLbl>
              <c:idx val="8"/>
              <c:delete val="1"/>
              <c:extLst>
                <c:ext xmlns:c15="http://schemas.microsoft.com/office/drawing/2012/chart" uri="{CE6537A1-D6FC-4f65-9D91-7224C49458BB}"/>
                <c:ext xmlns:c16="http://schemas.microsoft.com/office/drawing/2014/chart" uri="{C3380CC4-5D6E-409C-BE32-E72D297353CC}">
                  <c16:uniqueId val="{0000000C-A4C0-41BE-AD54-8DAF9298B96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(f)'!$G$40:$O$40</c:f>
              <c:numCache>
                <c:formatCode>0.00%</c:formatCode>
                <c:ptCount val="9"/>
                <c:pt idx="3">
                  <c:v>0</c:v>
                </c:pt>
                <c:pt idx="4">
                  <c:v>0</c:v>
                </c:pt>
                <c:pt idx="5">
                  <c:v>0</c:v>
                </c:pt>
                <c:pt idx="6">
                  <c:v>0</c:v>
                </c:pt>
                <c:pt idx="7">
                  <c:v>0</c:v>
                </c:pt>
                <c:pt idx="8" formatCode="0.0000">
                  <c:v>0</c:v>
                </c:pt>
              </c:numCache>
            </c:numRef>
          </c:val>
          <c:smooth val="0"/>
          <c:extLst>
            <c:ext xmlns:c16="http://schemas.microsoft.com/office/drawing/2014/chart" uri="{C3380CC4-5D6E-409C-BE32-E72D297353CC}">
              <c16:uniqueId val="{0000000D-A4C0-41BE-AD54-8DAF9298B966}"/>
            </c:ext>
          </c:extLst>
        </c:ser>
        <c:ser>
          <c:idx val="2"/>
          <c:order val="2"/>
          <c:tx>
            <c:strRef>
              <c:f>'SD_RT (f)'!$F$41</c:f>
              <c:strCache>
                <c:ptCount val="1"/>
                <c:pt idx="0">
                  <c:v>Benchmark value (state financed) CY+5</c:v>
                </c:pt>
              </c:strCache>
            </c:strRef>
          </c:tx>
          <c:spPr>
            <a:ln w="25400" cap="rnd">
              <a:noFill/>
              <a:round/>
            </a:ln>
            <a:effectLst/>
          </c:spPr>
          <c:marker>
            <c:symbol val="square"/>
            <c:size val="5"/>
            <c:spPr>
              <a:solidFill>
                <a:schemeClr val="tx1">
                  <a:lumMod val="75000"/>
                  <a:lumOff val="25000"/>
                </a:schemeClr>
              </a:solidFill>
              <a:ln w="9525">
                <a:solidFill>
                  <a:schemeClr val="tx1">
                    <a:lumMod val="75000"/>
                    <a:lumOff val="25000"/>
                  </a:schemeClr>
                </a:solidFill>
              </a:ln>
              <a:effectLst/>
            </c:spPr>
          </c:marker>
          <c:dPt>
            <c:idx val="8"/>
            <c:marker>
              <c:symbol val="square"/>
              <c:size val="5"/>
              <c:spPr>
                <a:solidFill>
                  <a:schemeClr val="tx1">
                    <a:lumMod val="75000"/>
                    <a:lumOff val="25000"/>
                  </a:schemeClr>
                </a:solidFill>
                <a:ln w="9525">
                  <a:solidFill>
                    <a:schemeClr val="tx1">
                      <a:lumMod val="75000"/>
                      <a:lumOff val="25000"/>
                    </a:schemeClr>
                  </a:solidFill>
                </a:ln>
                <a:effectLst/>
              </c:spPr>
            </c:marker>
            <c:bubble3D val="0"/>
            <c:spPr>
              <a:ln w="25400" cap="rnd">
                <a:noFill/>
                <a:round/>
              </a:ln>
              <a:effectLst/>
            </c:spPr>
            <c:extLst>
              <c:ext xmlns:c16="http://schemas.microsoft.com/office/drawing/2014/chart" uri="{C3380CC4-5D6E-409C-BE32-E72D297353CC}">
                <c16:uniqueId val="{0000000F-A4C0-41BE-AD54-8DAF9298B966}"/>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(f)'!$G$41:$O$41</c:f>
              <c:numCache>
                <c:formatCode>0.00%</c:formatCode>
                <c:ptCount val="9"/>
                <c:pt idx="8">
                  <c:v>0</c:v>
                </c:pt>
              </c:numCache>
            </c:numRef>
          </c:val>
          <c:smooth val="0"/>
          <c:extLst>
            <c:ext xmlns:c16="http://schemas.microsoft.com/office/drawing/2014/chart" uri="{C3380CC4-5D6E-409C-BE32-E72D297353CC}">
              <c16:uniqueId val="{00000010-A4C0-41BE-AD54-8DAF9298B966}"/>
            </c:ext>
          </c:extLst>
        </c:ser>
        <c:ser>
          <c:idx val="4"/>
          <c:order val="3"/>
          <c:tx>
            <c:strRef>
              <c:f>'SD_RT (f)'!$F$43</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dLbl>
              <c:idx val="8"/>
              <c:layout>
                <c:manualLayout>
                  <c:x val="-6.0982567667255828E-2"/>
                  <c:y val="-1.3227510472126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4C0-41BE-AD54-8DAF9298B96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(f)'!$G$43:$O$43</c:f>
              <c:numCache>
                <c:formatCode>0.00%</c:formatCode>
                <c:ptCount val="9"/>
                <c:pt idx="8">
                  <c:v>0</c:v>
                </c:pt>
              </c:numCache>
            </c:numRef>
          </c:val>
          <c:smooth val="0"/>
          <c:extLst>
            <c:ext xmlns:c16="http://schemas.microsoft.com/office/drawing/2014/chart" uri="{C3380CC4-5D6E-409C-BE32-E72D297353CC}">
              <c16:uniqueId val="{00000012-A4C0-41BE-AD54-8DAF9298B966}"/>
            </c:ext>
          </c:extLst>
        </c:ser>
        <c:ser>
          <c:idx val="3"/>
          <c:order val="4"/>
          <c:tx>
            <c:strRef>
              <c:f>'SD_RT (f)'!$F$42</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 (f)'!$G$38:$O$38</c:f>
              <c:strCache>
                <c:ptCount val="9"/>
                <c:pt idx="0">
                  <c:v>CY-3</c:v>
                </c:pt>
                <c:pt idx="1">
                  <c:v>CY-2</c:v>
                </c:pt>
                <c:pt idx="2">
                  <c:v>CY-1</c:v>
                </c:pt>
                <c:pt idx="3">
                  <c:v>CY</c:v>
                </c:pt>
                <c:pt idx="4">
                  <c:v>CY+1</c:v>
                </c:pt>
                <c:pt idx="5">
                  <c:v>CY+2</c:v>
                </c:pt>
                <c:pt idx="6">
                  <c:v>CY+3</c:v>
                </c:pt>
                <c:pt idx="7">
                  <c:v>CY+4</c:v>
                </c:pt>
                <c:pt idx="8">
                  <c:v>CY+5</c:v>
                </c:pt>
              </c:strCache>
            </c:strRef>
          </c:cat>
          <c:val>
            <c:numRef>
              <c:f>'SD_RT (f)'!$G$42:$O$42</c:f>
              <c:numCache>
                <c:formatCode>0.00%</c:formatCode>
                <c:ptCount val="9"/>
                <c:pt idx="8">
                  <c:v>0</c:v>
                </c:pt>
              </c:numCache>
            </c:numRef>
          </c:val>
          <c:smooth val="0"/>
          <c:extLst>
            <c:ext xmlns:c16="http://schemas.microsoft.com/office/drawing/2014/chart" uri="{C3380CC4-5D6E-409C-BE32-E72D297353CC}">
              <c16:uniqueId val="{00000013-A4C0-41BE-AD54-8DAF9298B966}"/>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329441459517262"/>
          <c:w val="1"/>
          <c:h val="0.166705585404827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1291380559889E-2"/>
          <c:y val="3.5465268512080379E-2"/>
          <c:w val="0.85205298247122552"/>
          <c:h val="0.7399074770258981"/>
        </c:manualLayout>
      </c:layout>
      <c:barChart>
        <c:barDir val="col"/>
        <c:grouping val="clustered"/>
        <c:varyColors val="0"/>
        <c:ser>
          <c:idx val="4"/>
          <c:order val="4"/>
          <c:tx>
            <c:strRef>
              <c:f>COM_CS!$F$15</c:f>
              <c:strCache>
                <c:ptCount val="1"/>
                <c:pt idx="0">
                  <c:v>Benchmark period</c:v>
                </c:pt>
              </c:strCache>
            </c:strRef>
          </c:tx>
          <c:spPr>
            <a:solidFill>
              <a:schemeClr val="accent5">
                <a:lumMod val="20000"/>
                <a:lumOff val="80000"/>
                <a:alpha val="52000"/>
              </a:schemeClr>
            </a:solidFill>
            <a:ln w="12700">
              <a:solidFill>
                <a:schemeClr val="bg1"/>
              </a:solidFill>
            </a:ln>
            <a:effectLst/>
          </c:spPr>
          <c:invertIfNegative val="0"/>
          <c:dPt>
            <c:idx val="0"/>
            <c:invertIfNegative val="0"/>
            <c:bubble3D val="0"/>
            <c:spPr>
              <a:solidFill>
                <a:schemeClr val="accent5">
                  <a:lumMod val="20000"/>
                  <a:lumOff val="80000"/>
                  <a:alpha val="50000"/>
                </a:schemeClr>
              </a:solidFill>
              <a:ln w="12700">
                <a:solidFill>
                  <a:schemeClr val="bg1"/>
                </a:solidFill>
              </a:ln>
              <a:effectLst/>
            </c:spPr>
            <c:extLst>
              <c:ext xmlns:c16="http://schemas.microsoft.com/office/drawing/2014/chart" uri="{C3380CC4-5D6E-409C-BE32-E72D297353CC}">
                <c16:uniqueId val="{00000004-8D02-4B61-89D2-E0D6EFC09E40}"/>
              </c:ext>
            </c:extLst>
          </c:dPt>
          <c:dPt>
            <c:idx val="1"/>
            <c:invertIfNegative val="0"/>
            <c:bubble3D val="0"/>
            <c:spPr>
              <a:solidFill>
                <a:schemeClr val="bg1">
                  <a:lumMod val="95000"/>
                  <a:alpha val="50000"/>
                </a:schemeClr>
              </a:solidFill>
              <a:ln w="12700">
                <a:solidFill>
                  <a:schemeClr val="bg1"/>
                </a:solidFill>
              </a:ln>
              <a:effectLst/>
            </c:spPr>
            <c:extLst>
              <c:ext xmlns:c16="http://schemas.microsoft.com/office/drawing/2014/chart" uri="{C3380CC4-5D6E-409C-BE32-E72D297353CC}">
                <c16:uniqueId val="{00000001-8D02-4B61-89D2-E0D6EFC09E40}"/>
              </c:ext>
            </c:extLst>
          </c:dPt>
          <c:dPt>
            <c:idx val="2"/>
            <c:invertIfNegative val="0"/>
            <c:bubble3D val="0"/>
            <c:spPr>
              <a:solidFill>
                <a:schemeClr val="bg1">
                  <a:lumMod val="95000"/>
                  <a:alpha val="50000"/>
                </a:schemeClr>
              </a:solidFill>
              <a:ln w="12700">
                <a:solidFill>
                  <a:schemeClr val="bg1"/>
                </a:solidFill>
              </a:ln>
              <a:effectLst/>
            </c:spPr>
            <c:extLst>
              <c:ext xmlns:c16="http://schemas.microsoft.com/office/drawing/2014/chart" uri="{C3380CC4-5D6E-409C-BE32-E72D297353CC}">
                <c16:uniqueId val="{00000002-8D02-4B61-89D2-E0D6EFC09E40}"/>
              </c:ext>
            </c:extLst>
          </c:dPt>
          <c:dPt>
            <c:idx val="3"/>
            <c:invertIfNegative val="0"/>
            <c:bubble3D val="0"/>
            <c:spPr>
              <a:solidFill>
                <a:schemeClr val="bg1">
                  <a:lumMod val="95000"/>
                  <a:alpha val="50000"/>
                </a:schemeClr>
              </a:solidFill>
              <a:ln w="12700">
                <a:solidFill>
                  <a:schemeClr val="bg1"/>
                </a:solidFill>
              </a:ln>
              <a:effectLst/>
            </c:spPr>
            <c:extLst>
              <c:ext xmlns:c16="http://schemas.microsoft.com/office/drawing/2014/chart" uri="{C3380CC4-5D6E-409C-BE32-E72D297353CC}">
                <c16:uniqueId val="{00000003-8D02-4B61-89D2-E0D6EFC09E40}"/>
              </c:ext>
            </c:extLst>
          </c:dPt>
          <c:dLbls>
            <c:dLbl>
              <c:idx val="0"/>
              <c:tx>
                <c:rich>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fld id="{C4C496F1-0183-4FCA-A4E9-1ED8B6E135C7}" type="CELLRANGE">
                      <a:rPr lang="en-US"/>
                      <a:pPr>
                        <a:defRPr>
                          <a:solidFill>
                            <a:srgbClr val="00B0F0"/>
                          </a:solidFill>
                        </a:defRPr>
                      </a:pPr>
                      <a:t>[CELLRANGE]</a:t>
                    </a:fld>
                    <a:endParaRPr lang="lv-LV"/>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8D02-4B61-89D2-E0D6EFC09E40}"/>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02-4B61-89D2-E0D6EFC09E40}"/>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02-4B61-89D2-E0D6EFC09E40}"/>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02-4B61-89D2-E0D6EFC09E4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COM_CS!$G$15:$J$15</c:f>
              <c:numCache>
                <c:formatCode>0.00</c:formatCode>
                <c:ptCount val="4"/>
                <c:pt idx="0">
                  <c:v>0</c:v>
                </c:pt>
                <c:pt idx="1">
                  <c:v>0</c:v>
                </c:pt>
                <c:pt idx="2">
                  <c:v>0</c:v>
                </c:pt>
                <c:pt idx="3">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0-8D02-4B61-89D2-E0D6EFC09E40}"/>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COM_CS!$F$9</c:f>
              <c:strCache>
                <c:ptCount val="1"/>
                <c:pt idx="0">
                  <c:v>0</c:v>
                </c:pt>
              </c:strCache>
            </c:strRef>
          </c:tx>
          <c:spPr>
            <a:ln w="12700" cap="rnd">
              <a:solidFill>
                <a:schemeClr val="accent5"/>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COM_CS!$G$9:$J$9</c:f>
              <c:numCache>
                <c:formatCode>0.00</c:formatCode>
                <c:ptCount val="4"/>
              </c:numCache>
            </c:numRef>
          </c:val>
          <c:smooth val="0"/>
          <c:extLst>
            <c:ext xmlns:c16="http://schemas.microsoft.com/office/drawing/2014/chart" uri="{C3380CC4-5D6E-409C-BE32-E72D297353CC}">
              <c16:uniqueId val="{00000000-FA61-4056-B5DD-79D17896B4D9}"/>
            </c:ext>
          </c:extLst>
        </c:ser>
        <c:ser>
          <c:idx val="1"/>
          <c:order val="1"/>
          <c:tx>
            <c:strRef>
              <c:f>COM_CS!$H$6</c:f>
              <c:strCache>
                <c:ptCount val="1"/>
                <c:pt idx="0">
                  <c:v>Benchmark value</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A61-4056-B5DD-79D17896B4D9}"/>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COM_CS!$G$6</c:f>
              <c:numCache>
                <c:formatCode>0.00</c:formatCode>
                <c:ptCount val="1"/>
                <c:pt idx="0">
                  <c:v>0</c:v>
                </c:pt>
              </c:numCache>
            </c:numRef>
          </c:val>
          <c:smooth val="0"/>
          <c:extLst>
            <c:ext xmlns:c16="http://schemas.microsoft.com/office/drawing/2014/chart" uri="{C3380CC4-5D6E-409C-BE32-E72D297353CC}">
              <c16:uniqueId val="{00000004-FA61-4056-B5DD-79D17896B4D9}"/>
            </c:ext>
          </c:extLst>
        </c:ser>
        <c:ser>
          <c:idx val="2"/>
          <c:order val="2"/>
          <c:tx>
            <c:strRef>
              <c:f>COM_CS!$H$11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COM_CS!$G$11</c:f>
              <c:numCache>
                <c:formatCode>0.00</c:formatCode>
                <c:ptCount val="1"/>
                <c:pt idx="0">
                  <c:v>0</c:v>
                </c:pt>
              </c:numCache>
            </c:numRef>
          </c:val>
          <c:smooth val="0"/>
          <c:extLst>
            <c:ext xmlns:c16="http://schemas.microsoft.com/office/drawing/2014/chart" uri="{C3380CC4-5D6E-409C-BE32-E72D297353CC}">
              <c16:uniqueId val="{00000005-FA61-4056-B5DD-79D17896B4D9}"/>
            </c:ext>
          </c:extLst>
        </c:ser>
        <c:ser>
          <c:idx val="3"/>
          <c:order val="3"/>
          <c:tx>
            <c:strRef>
              <c:f>COM_CS!$H$13</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COM_CS!$G$13</c:f>
              <c:numCache>
                <c:formatCode>0.00</c:formatCode>
                <c:ptCount val="1"/>
                <c:pt idx="0">
                  <c:v>0</c:v>
                </c:pt>
              </c:numCache>
            </c:numRef>
          </c:val>
          <c:smooth val="0"/>
          <c:extLst>
            <c:ext xmlns:c16="http://schemas.microsoft.com/office/drawing/2014/chart" uri="{C3380CC4-5D6E-409C-BE32-E72D297353CC}">
              <c16:uniqueId val="{00000006-FA61-4056-B5DD-79D17896B4D9}"/>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987716034302395"/>
          <c:w val="1"/>
          <c:h val="0.1676121749697755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3028322440087E-2"/>
          <c:y val="2.4253472222222221E-2"/>
          <c:w val="0.9041394335511983"/>
          <c:h val="0.76753923611111108"/>
        </c:manualLayout>
      </c:layout>
      <c:barChart>
        <c:barDir val="col"/>
        <c:grouping val="stacked"/>
        <c:varyColors val="0"/>
        <c:ser>
          <c:idx val="0"/>
          <c:order val="0"/>
          <c:tx>
            <c:strRef>
              <c:f>COM_RT!$F$13</c:f>
              <c:strCache>
                <c:ptCount val="1"/>
                <c:pt idx="0">
                  <c:v>Net turnover (commercial)</c:v>
                </c:pt>
              </c:strCache>
            </c:strRef>
          </c:tx>
          <c:spPr>
            <a:solidFill>
              <a:schemeClr val="accent4"/>
            </a:solidFill>
            <a:ln>
              <a:noFill/>
            </a:ln>
            <a:effectLst/>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60-4C27-B4DC-ED5B35B1CB4C}"/>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60-4C27-B4DC-ED5B35B1CB4C}"/>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60-4C27-B4DC-ED5B35B1CB4C}"/>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60-4C27-B4DC-ED5B35B1CB4C}"/>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COM_RT!$G$12:$J$12</c:f>
              <c:strCache>
                <c:ptCount val="4"/>
                <c:pt idx="0">
                  <c:v>CY</c:v>
                </c:pt>
                <c:pt idx="1">
                  <c:v>CY-1</c:v>
                </c:pt>
                <c:pt idx="2">
                  <c:v>CY-2</c:v>
                </c:pt>
                <c:pt idx="3">
                  <c:v>CY-3</c:v>
                </c:pt>
              </c:strCache>
            </c:strRef>
          </c:cat>
          <c:val>
            <c:numRef>
              <c:f>COM_RT!$G$13:$J$13</c:f>
              <c:numCache>
                <c:formatCode>_-* #\ ##0_-;\-* #\ ##0_-;_-* "-"??_-;_-@_-</c:formatCode>
                <c:ptCount val="4"/>
              </c:numCache>
            </c:numRef>
          </c:val>
          <c:extLst>
            <c:ext xmlns:c16="http://schemas.microsoft.com/office/drawing/2014/chart" uri="{C3380CC4-5D6E-409C-BE32-E72D297353CC}">
              <c16:uniqueId val="{00000000-540E-4828-85F1-C1C54B59857F}"/>
            </c:ext>
          </c:extLst>
        </c:ser>
        <c:ser>
          <c:idx val="1"/>
          <c:order val="1"/>
          <c:tx>
            <c:strRef>
              <c:f>COM_RT!$F$15</c:f>
              <c:strCache>
                <c:ptCount val="1"/>
                <c:pt idx="0">
                  <c:v>Net turnover (regulated)</c:v>
                </c:pt>
              </c:strCache>
            </c:strRef>
          </c:tx>
          <c:spPr>
            <a:solidFill>
              <a:schemeClr val="tx1">
                <a:lumMod val="75000"/>
                <a:lumOff val="25000"/>
              </a:schemeClr>
            </a:solidFill>
            <a:ln>
              <a:noFill/>
            </a:ln>
            <a:effectLst/>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0E-4828-85F1-C1C54B59857F}"/>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0E-4828-85F1-C1C54B59857F}"/>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0E-4828-85F1-C1C54B59857F}"/>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A9-4F4B-B41E-69F896B4FEF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COM_RT!$G$12:$J$12</c:f>
              <c:strCache>
                <c:ptCount val="4"/>
                <c:pt idx="0">
                  <c:v>CY</c:v>
                </c:pt>
                <c:pt idx="1">
                  <c:v>CY-1</c:v>
                </c:pt>
                <c:pt idx="2">
                  <c:v>CY-2</c:v>
                </c:pt>
                <c:pt idx="3">
                  <c:v>CY-3</c:v>
                </c:pt>
              </c:strCache>
            </c:strRef>
          </c:cat>
          <c:val>
            <c:numRef>
              <c:f>COM_RT!$G$15:$J$15</c:f>
              <c:numCache>
                <c:formatCode>_-* #\ ##0_-;\-* #\ ##0_-;_-* "-"??_-;_-@_-</c:formatCode>
                <c:ptCount val="4"/>
              </c:numCache>
            </c:numRef>
          </c:val>
          <c:extLst>
            <c:ext xmlns:c16="http://schemas.microsoft.com/office/drawing/2014/chart" uri="{C3380CC4-5D6E-409C-BE32-E72D297353CC}">
              <c16:uniqueId val="{00000001-540E-4828-85F1-C1C54B59857F}"/>
            </c:ext>
          </c:extLst>
        </c:ser>
        <c:ser>
          <c:idx val="2"/>
          <c:order val="2"/>
          <c:tx>
            <c:strRef>
              <c:f>COM_RT!$F$17</c:f>
              <c:strCache>
                <c:ptCount val="1"/>
                <c:pt idx="0">
                  <c:v>Net turnover (state financed)</c:v>
                </c:pt>
              </c:strCache>
            </c:strRef>
          </c:tx>
          <c:spPr>
            <a:solidFill>
              <a:schemeClr val="accent1"/>
            </a:solidFill>
            <a:ln>
              <a:noFill/>
            </a:ln>
            <a:effectLst/>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C2-487A-8A94-A881C4C66175}"/>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C2-487A-8A94-A881C4C66175}"/>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C2-487A-8A94-A881C4C66175}"/>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A9-4F4B-B41E-69F896B4FEF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COM_RT!$G$12:$J$12</c:f>
              <c:strCache>
                <c:ptCount val="4"/>
                <c:pt idx="0">
                  <c:v>CY</c:v>
                </c:pt>
                <c:pt idx="1">
                  <c:v>CY-1</c:v>
                </c:pt>
                <c:pt idx="2">
                  <c:v>CY-2</c:v>
                </c:pt>
                <c:pt idx="3">
                  <c:v>CY-3</c:v>
                </c:pt>
              </c:strCache>
            </c:strRef>
          </c:cat>
          <c:val>
            <c:numRef>
              <c:f>COM_RT!$G$17:$J$17</c:f>
              <c:numCache>
                <c:formatCode>_-* #\ ##0_-;\-* #\ ##0_-;_-* "-"??_-;_-@_-</c:formatCode>
                <c:ptCount val="4"/>
              </c:numCache>
            </c:numRef>
          </c:val>
          <c:extLst>
            <c:ext xmlns:c16="http://schemas.microsoft.com/office/drawing/2014/chart" uri="{C3380CC4-5D6E-409C-BE32-E72D297353CC}">
              <c16:uniqueId val="{00000001-18C2-487A-8A94-A881C4C66175}"/>
            </c:ext>
          </c:extLst>
        </c:ser>
        <c:dLbls>
          <c:showLegendKey val="0"/>
          <c:showVal val="0"/>
          <c:showCatName val="0"/>
          <c:showSerName val="0"/>
          <c:showPercent val="0"/>
          <c:showBubbleSize val="0"/>
        </c:dLbls>
        <c:gapWidth val="10"/>
        <c:overlap val="100"/>
        <c:axId val="1173440192"/>
        <c:axId val="807835088"/>
      </c:barChart>
      <c:catAx>
        <c:axId val="117344019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807835088"/>
        <c:crosses val="autoZero"/>
        <c:auto val="1"/>
        <c:lblAlgn val="ctr"/>
        <c:lblOffset val="100"/>
        <c:noMultiLvlLbl val="0"/>
      </c:catAx>
      <c:valAx>
        <c:axId val="807835088"/>
        <c:scaling>
          <c:orientation val="minMax"/>
          <c:min val="0"/>
        </c:scaling>
        <c:delete val="1"/>
        <c:axPos val="r"/>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crossAx val="1173440192"/>
        <c:crosses val="autoZero"/>
        <c:crossBetween val="between"/>
      </c:valAx>
      <c:spPr>
        <a:noFill/>
        <a:ln>
          <a:noFill/>
        </a:ln>
        <a:effectLst/>
      </c:spPr>
    </c:plotArea>
    <c:legend>
      <c:legendPos val="b"/>
      <c:layout>
        <c:manualLayout>
          <c:xMode val="edge"/>
          <c:yMode val="edge"/>
          <c:x val="2.8331328900890254E-3"/>
          <c:y val="0.86398871527777776"/>
          <c:w val="0.74008645978076271"/>
          <c:h val="0.1360112847222222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COM_RT!$F$23</c:f>
              <c:strCache>
                <c:ptCount val="1"/>
                <c:pt idx="0">
                  <c:v>Benchmark period</c:v>
                </c:pt>
              </c:strCache>
            </c:strRef>
          </c:tx>
          <c:spPr>
            <a:solidFill>
              <a:schemeClr val="accent5"/>
            </a:solidFill>
            <a:ln>
              <a:noFill/>
            </a:ln>
            <a:effectLst/>
          </c:spPr>
          <c:invertIfNegative val="0"/>
          <c:dPt>
            <c:idx val="0"/>
            <c:invertIfNegative val="0"/>
            <c:bubble3D val="0"/>
            <c:spPr>
              <a:solidFill>
                <a:schemeClr val="accent5">
                  <a:lumMod val="20000"/>
                  <a:lumOff val="80000"/>
                  <a:alpha val="50000"/>
                </a:schemeClr>
              </a:solidFill>
              <a:ln>
                <a:solidFill>
                  <a:schemeClr val="bg1"/>
                </a:solidFill>
              </a:ln>
              <a:effectLst/>
            </c:spPr>
            <c:extLst>
              <c:ext xmlns:c16="http://schemas.microsoft.com/office/drawing/2014/chart" uri="{C3380CC4-5D6E-409C-BE32-E72D297353CC}">
                <c16:uniqueId val="{00000006-946B-441F-B8D8-986FC6C706A3}"/>
              </c:ext>
            </c:extLst>
          </c:dPt>
          <c:dPt>
            <c:idx val="1"/>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1-946B-441F-B8D8-986FC6C706A3}"/>
              </c:ext>
            </c:extLst>
          </c:dPt>
          <c:dPt>
            <c:idx val="2"/>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3-946B-441F-B8D8-986FC6C706A3}"/>
              </c:ext>
            </c:extLst>
          </c:dPt>
          <c:dPt>
            <c:idx val="3"/>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5-946B-441F-B8D8-986FC6C706A3}"/>
              </c:ext>
            </c:extLst>
          </c:dPt>
          <c:dLbls>
            <c:dLbl>
              <c:idx val="0"/>
              <c:tx>
                <c:rich>
                  <a:bodyPr/>
                  <a:lstStyle/>
                  <a:p>
                    <a:fld id="{2F89A18E-D15B-49DC-805C-13A56D5D2EC2}"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946B-441F-B8D8-986FC6C706A3}"/>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6B-441F-B8D8-986FC6C706A3}"/>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6B-441F-B8D8-986FC6C706A3}"/>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6B-441F-B8D8-986FC6C706A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COM_RT!$G$21:$J$21</c:f>
              <c:strCache>
                <c:ptCount val="4"/>
                <c:pt idx="0">
                  <c:v>CY</c:v>
                </c:pt>
                <c:pt idx="1">
                  <c:v>CY-1</c:v>
                </c:pt>
                <c:pt idx="2">
                  <c:v>CY-2</c:v>
                </c:pt>
                <c:pt idx="3">
                  <c:v>CY-3</c:v>
                </c:pt>
              </c:strCache>
            </c:strRef>
          </c:cat>
          <c:val>
            <c:numRef>
              <c:f>COM_RT!$G$23:$J$23</c:f>
              <c:numCache>
                <c:formatCode>0.00%</c:formatCode>
                <c:ptCount val="4"/>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7-946B-441F-B8D8-986FC6C706A3}"/>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COM_RT!$F$22</c:f>
              <c:strCache>
                <c:ptCount val="1"/>
                <c:pt idx="0">
                  <c:v>ROE (commercial)</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COM_RT!$G$22:$J$22</c:f>
              <c:numCache>
                <c:formatCode>0.00%</c:formatCode>
                <c:ptCount val="4"/>
              </c:numCache>
            </c:numRef>
          </c:val>
          <c:smooth val="0"/>
          <c:extLst>
            <c:ext xmlns:c16="http://schemas.microsoft.com/office/drawing/2014/chart" uri="{C3380CC4-5D6E-409C-BE32-E72D297353CC}">
              <c16:uniqueId val="{00000008-946B-441F-B8D8-986FC6C706A3}"/>
            </c:ext>
          </c:extLst>
        </c:ser>
        <c:ser>
          <c:idx val="1"/>
          <c:order val="1"/>
          <c:tx>
            <c:strRef>
              <c:f>COM_RT!$H$6</c:f>
              <c:strCache>
                <c:ptCount val="1"/>
                <c:pt idx="0">
                  <c:v>Benchmark value (commercial)</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46B-441F-B8D8-986FC6C706A3}"/>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COM_RT!$G$6</c:f>
              <c:numCache>
                <c:formatCode>0.00%</c:formatCode>
                <c:ptCount val="1"/>
                <c:pt idx="0">
                  <c:v>0</c:v>
                </c:pt>
              </c:numCache>
            </c:numRef>
          </c:val>
          <c:smooth val="0"/>
          <c:extLst>
            <c:ext xmlns:c16="http://schemas.microsoft.com/office/drawing/2014/chart" uri="{C3380CC4-5D6E-409C-BE32-E72D297353CC}">
              <c16:uniqueId val="{0000000A-946B-441F-B8D8-986FC6C706A3}"/>
            </c:ext>
          </c:extLst>
        </c:ser>
        <c:ser>
          <c:idx val="2"/>
          <c:order val="2"/>
          <c:tx>
            <c:strRef>
              <c:f>COM_RT!$H$31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COM_RT!$G$31</c:f>
              <c:numCache>
                <c:formatCode>0.00%</c:formatCode>
                <c:ptCount val="1"/>
                <c:pt idx="0">
                  <c:v>0</c:v>
                </c:pt>
              </c:numCache>
            </c:numRef>
          </c:val>
          <c:smooth val="0"/>
          <c:extLst>
            <c:ext xmlns:c16="http://schemas.microsoft.com/office/drawing/2014/chart" uri="{C3380CC4-5D6E-409C-BE32-E72D297353CC}">
              <c16:uniqueId val="{0000000B-946B-441F-B8D8-986FC6C706A3}"/>
            </c:ext>
          </c:extLst>
        </c:ser>
        <c:ser>
          <c:idx val="3"/>
          <c:order val="3"/>
          <c:tx>
            <c:strRef>
              <c:f>COM_RT!$H$32</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46B-441F-B8D8-986FC6C706A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COM_RT!$G$32</c:f>
              <c:numCache>
                <c:formatCode>0.00%</c:formatCode>
                <c:ptCount val="1"/>
                <c:pt idx="0">
                  <c:v>0</c:v>
                </c:pt>
              </c:numCache>
            </c:numRef>
          </c:val>
          <c:smooth val="0"/>
          <c:extLst>
            <c:ext xmlns:c16="http://schemas.microsoft.com/office/drawing/2014/chart" uri="{C3380CC4-5D6E-409C-BE32-E72D297353CC}">
              <c16:uniqueId val="{0000000C-946B-441F-B8D8-986FC6C706A3}"/>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COM_RT!$F$25</c:f>
              <c:strCache>
                <c:ptCount val="1"/>
                <c:pt idx="0">
                  <c:v>Benchmark period</c:v>
                </c:pt>
              </c:strCache>
            </c:strRef>
          </c:tx>
          <c:spPr>
            <a:solidFill>
              <a:schemeClr val="accent5"/>
            </a:solidFill>
            <a:ln>
              <a:solidFill>
                <a:schemeClr val="bg1">
                  <a:alpha val="50000"/>
                </a:schemeClr>
              </a:solidFill>
            </a:ln>
            <a:effectLst/>
          </c:spPr>
          <c:invertIfNegative val="0"/>
          <c:dPt>
            <c:idx val="0"/>
            <c:invertIfNegative val="0"/>
            <c:bubble3D val="0"/>
            <c:spPr>
              <a:solidFill>
                <a:schemeClr val="accent5">
                  <a:lumMod val="20000"/>
                  <a:lumOff val="80000"/>
                  <a:alpha val="50000"/>
                </a:schemeClr>
              </a:solidFill>
              <a:ln>
                <a:solidFill>
                  <a:schemeClr val="bg1">
                    <a:alpha val="50000"/>
                  </a:schemeClr>
                </a:solidFill>
              </a:ln>
              <a:effectLst/>
            </c:spPr>
            <c:extLst>
              <c:ext xmlns:c16="http://schemas.microsoft.com/office/drawing/2014/chart" uri="{C3380CC4-5D6E-409C-BE32-E72D297353CC}">
                <c16:uniqueId val="{00000006-946B-441F-B8D8-986FC6C706A3}"/>
              </c:ext>
            </c:extLst>
          </c:dPt>
          <c:dPt>
            <c:idx val="1"/>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1-946B-441F-B8D8-986FC6C706A3}"/>
              </c:ext>
            </c:extLst>
          </c:dPt>
          <c:dPt>
            <c:idx val="2"/>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3-946B-441F-B8D8-986FC6C706A3}"/>
              </c:ext>
            </c:extLst>
          </c:dPt>
          <c:dPt>
            <c:idx val="3"/>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5-946B-441F-B8D8-986FC6C706A3}"/>
              </c:ext>
            </c:extLst>
          </c:dPt>
          <c:dLbls>
            <c:dLbl>
              <c:idx val="0"/>
              <c:tx>
                <c:rich>
                  <a:bodyPr/>
                  <a:lstStyle/>
                  <a:p>
                    <a:fld id="{0BE6B3FE-9C7D-4686-91E0-8D209BC1C046}"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946B-441F-B8D8-986FC6C706A3}"/>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6B-441F-B8D8-986FC6C706A3}"/>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6B-441F-B8D8-986FC6C706A3}"/>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6B-441F-B8D8-986FC6C706A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COM_RT!$G$25:$J$25</c:f>
              <c:numCache>
                <c:formatCode>0.00%</c:formatCode>
                <c:ptCount val="4"/>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7-946B-441F-B8D8-986FC6C706A3}"/>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COM_RT!$F$24</c:f>
              <c:strCache>
                <c:ptCount val="1"/>
                <c:pt idx="0">
                  <c:v>ROE (regulated)</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COM_RT!$G$24:$J$24</c:f>
              <c:numCache>
                <c:formatCode>0.00%</c:formatCode>
                <c:ptCount val="4"/>
              </c:numCache>
            </c:numRef>
          </c:val>
          <c:smooth val="0"/>
          <c:extLst>
            <c:ext xmlns:c16="http://schemas.microsoft.com/office/drawing/2014/chart" uri="{C3380CC4-5D6E-409C-BE32-E72D297353CC}">
              <c16:uniqueId val="{00000008-946B-441F-B8D8-986FC6C706A3}"/>
            </c:ext>
          </c:extLst>
        </c:ser>
        <c:ser>
          <c:idx val="1"/>
          <c:order val="1"/>
          <c:tx>
            <c:strRef>
              <c:f>COM_RT!$H$8</c:f>
              <c:strCache>
                <c:ptCount val="1"/>
                <c:pt idx="0">
                  <c:v>Benchmark value (regulated)</c:v>
                </c:pt>
              </c:strCache>
            </c:strRef>
          </c:tx>
          <c:spPr>
            <a:ln w="28575" cap="rnd">
              <a:no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COM_RT!$G$8</c:f>
              <c:numCache>
                <c:formatCode>0.00%</c:formatCode>
                <c:ptCount val="1"/>
                <c:pt idx="0">
                  <c:v>0</c:v>
                </c:pt>
              </c:numCache>
            </c:numRef>
          </c:val>
          <c:smooth val="0"/>
          <c:extLst>
            <c:ext xmlns:c16="http://schemas.microsoft.com/office/drawing/2014/chart" uri="{C3380CC4-5D6E-409C-BE32-E72D297353CC}">
              <c16:uniqueId val="{0000000A-946B-441F-B8D8-986FC6C706A3}"/>
            </c:ext>
          </c:extLst>
        </c:ser>
        <c:ser>
          <c:idx val="2"/>
          <c:order val="2"/>
          <c:tx>
            <c:strRef>
              <c:f>COM_RT!$H$34</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COM_RT!$G$34</c:f>
              <c:numCache>
                <c:formatCode>0.00%</c:formatCode>
                <c:ptCount val="1"/>
                <c:pt idx="0">
                  <c:v>0</c:v>
                </c:pt>
              </c:numCache>
            </c:numRef>
          </c:val>
          <c:smooth val="0"/>
          <c:extLst>
            <c:ext xmlns:c16="http://schemas.microsoft.com/office/drawing/2014/chart" uri="{C3380CC4-5D6E-409C-BE32-E72D297353CC}">
              <c16:uniqueId val="{0000000B-946B-441F-B8D8-986FC6C706A3}"/>
            </c:ext>
          </c:extLst>
        </c:ser>
        <c:ser>
          <c:idx val="3"/>
          <c:order val="3"/>
          <c:tx>
            <c:strRef>
              <c:f>COM_RT!$H$35</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COM_RT!$G$35</c:f>
              <c:numCache>
                <c:formatCode>0.00%</c:formatCode>
                <c:ptCount val="1"/>
                <c:pt idx="0">
                  <c:v>0</c:v>
                </c:pt>
              </c:numCache>
            </c:numRef>
          </c:val>
          <c:smooth val="0"/>
          <c:extLst>
            <c:ext xmlns:c16="http://schemas.microsoft.com/office/drawing/2014/chart" uri="{C3380CC4-5D6E-409C-BE32-E72D297353CC}">
              <c16:uniqueId val="{0000000C-946B-441F-B8D8-986FC6C706A3}"/>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COM_RT!$F$27</c:f>
              <c:strCache>
                <c:ptCount val="1"/>
                <c:pt idx="0">
                  <c:v>Benchmark period</c:v>
                </c:pt>
              </c:strCache>
            </c:strRef>
          </c:tx>
          <c:spPr>
            <a:solidFill>
              <a:schemeClr val="accent5"/>
            </a:solidFill>
            <a:ln>
              <a:solidFill>
                <a:schemeClr val="bg1"/>
              </a:solidFill>
            </a:ln>
            <a:effectLst/>
          </c:spPr>
          <c:invertIfNegative val="0"/>
          <c:dPt>
            <c:idx val="0"/>
            <c:invertIfNegative val="0"/>
            <c:bubble3D val="0"/>
            <c:spPr>
              <a:solidFill>
                <a:schemeClr val="accent5">
                  <a:lumMod val="20000"/>
                  <a:lumOff val="80000"/>
                  <a:alpha val="50000"/>
                </a:schemeClr>
              </a:solidFill>
              <a:ln>
                <a:solidFill>
                  <a:schemeClr val="bg1">
                    <a:alpha val="50000"/>
                  </a:schemeClr>
                </a:solidFill>
              </a:ln>
              <a:effectLst/>
            </c:spPr>
            <c:extLst>
              <c:ext xmlns:c16="http://schemas.microsoft.com/office/drawing/2014/chart" uri="{C3380CC4-5D6E-409C-BE32-E72D297353CC}">
                <c16:uniqueId val="{00000006-946B-441F-B8D8-986FC6C706A3}"/>
              </c:ext>
            </c:extLst>
          </c:dPt>
          <c:dPt>
            <c:idx val="1"/>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1-946B-441F-B8D8-986FC6C706A3}"/>
              </c:ext>
            </c:extLst>
          </c:dPt>
          <c:dPt>
            <c:idx val="2"/>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3-946B-441F-B8D8-986FC6C706A3}"/>
              </c:ext>
            </c:extLst>
          </c:dPt>
          <c:dPt>
            <c:idx val="3"/>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5-946B-441F-B8D8-986FC6C706A3}"/>
              </c:ext>
            </c:extLst>
          </c:dPt>
          <c:dLbls>
            <c:dLbl>
              <c:idx val="0"/>
              <c:tx>
                <c:rich>
                  <a:bodyPr/>
                  <a:lstStyle/>
                  <a:p>
                    <a:fld id="{8D0DFAF3-31DC-43EB-B4CB-F6E7EFED52BC}"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946B-441F-B8D8-986FC6C706A3}"/>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6B-441F-B8D8-986FC6C706A3}"/>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6B-441F-B8D8-986FC6C706A3}"/>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6B-441F-B8D8-986FC6C706A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COM_RT!$G$27:$J$27</c:f>
              <c:numCache>
                <c:formatCode>0.00%</c:formatCode>
                <c:ptCount val="4"/>
                <c:pt idx="0">
                  <c:v>0</c:v>
                </c:pt>
                <c:pt idx="1">
                  <c:v>0</c:v>
                </c:pt>
                <c:pt idx="2">
                  <c:v>0</c:v>
                </c:pt>
                <c:pt idx="3">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7-946B-441F-B8D8-986FC6C706A3}"/>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COM_RT!$F$26</c:f>
              <c:strCache>
                <c:ptCount val="1"/>
                <c:pt idx="0">
                  <c:v>ROE (state financed)</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COM_RT!$G$26:$J$26</c:f>
              <c:numCache>
                <c:formatCode>0.00%</c:formatCode>
                <c:ptCount val="4"/>
              </c:numCache>
            </c:numRef>
          </c:val>
          <c:smooth val="0"/>
          <c:extLst>
            <c:ext xmlns:c16="http://schemas.microsoft.com/office/drawing/2014/chart" uri="{C3380CC4-5D6E-409C-BE32-E72D297353CC}">
              <c16:uniqueId val="{00000008-946B-441F-B8D8-986FC6C706A3}"/>
            </c:ext>
          </c:extLst>
        </c:ser>
        <c:ser>
          <c:idx val="1"/>
          <c:order val="1"/>
          <c:tx>
            <c:strRef>
              <c:f>COM_RT!$H$10</c:f>
              <c:strCache>
                <c:ptCount val="1"/>
                <c:pt idx="0">
                  <c:v>Benchmark value (state financed)</c:v>
                </c:pt>
              </c:strCache>
            </c:strRef>
          </c:tx>
          <c:spPr>
            <a:ln w="28575" cap="rnd">
              <a:solidFill>
                <a:schemeClr val="accent2"/>
              </a:solid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COM_RT!$G$10</c:f>
              <c:numCache>
                <c:formatCode>0.00%</c:formatCode>
                <c:ptCount val="1"/>
                <c:pt idx="0">
                  <c:v>0</c:v>
                </c:pt>
              </c:numCache>
            </c:numRef>
          </c:val>
          <c:smooth val="0"/>
          <c:extLst>
            <c:ext xmlns:c16="http://schemas.microsoft.com/office/drawing/2014/chart" uri="{C3380CC4-5D6E-409C-BE32-E72D297353CC}">
              <c16:uniqueId val="{0000000A-946B-441F-B8D8-986FC6C706A3}"/>
            </c:ext>
          </c:extLst>
        </c:ser>
        <c:ser>
          <c:idx val="2"/>
          <c:order val="2"/>
          <c:tx>
            <c:strRef>
              <c:f>COM_RT!$H$37</c:f>
              <c:strCache>
                <c:ptCount val="1"/>
                <c:pt idx="0">
                  <c:v>Acceptable deviation lower bracket according to CSCC guidelines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COM_RT!$G$37</c:f>
              <c:numCache>
                <c:formatCode>0.00%</c:formatCode>
                <c:ptCount val="1"/>
                <c:pt idx="0">
                  <c:v>0</c:v>
                </c:pt>
              </c:numCache>
            </c:numRef>
          </c:val>
          <c:smooth val="0"/>
          <c:extLst>
            <c:ext xmlns:c16="http://schemas.microsoft.com/office/drawing/2014/chart" uri="{C3380CC4-5D6E-409C-BE32-E72D297353CC}">
              <c16:uniqueId val="{0000000B-946B-441F-B8D8-986FC6C706A3}"/>
            </c:ext>
          </c:extLst>
        </c:ser>
        <c:ser>
          <c:idx val="3"/>
          <c:order val="3"/>
          <c:tx>
            <c:strRef>
              <c:f>COM_RT!$H$38</c:f>
              <c:strCache>
                <c:ptCount val="1"/>
                <c:pt idx="0">
                  <c:v>Acceptable deviation upper bracket according to CSCC guidelines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COM_RT!$G$38</c:f>
              <c:numCache>
                <c:formatCode>0.00%</c:formatCode>
                <c:ptCount val="1"/>
                <c:pt idx="0">
                  <c:v>0</c:v>
                </c:pt>
              </c:numCache>
            </c:numRef>
          </c:val>
          <c:smooth val="0"/>
          <c:extLst>
            <c:ext xmlns:c16="http://schemas.microsoft.com/office/drawing/2014/chart" uri="{C3380CC4-5D6E-409C-BE32-E72D297353CC}">
              <c16:uniqueId val="{0000000C-946B-441F-B8D8-986FC6C706A3}"/>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1291380559889E-2"/>
          <c:y val="3.5465268512080379E-2"/>
          <c:w val="0.85205298247122552"/>
          <c:h val="0.7399074770258981"/>
        </c:manualLayout>
      </c:layout>
      <c:barChart>
        <c:barDir val="col"/>
        <c:grouping val="clustered"/>
        <c:varyColors val="0"/>
        <c:ser>
          <c:idx val="4"/>
          <c:order val="4"/>
          <c:tx>
            <c:strRef>
              <c:f>COM_DP!$F$15</c:f>
              <c:strCache>
                <c:ptCount val="1"/>
                <c:pt idx="0">
                  <c:v>Benchmark period</c:v>
                </c:pt>
              </c:strCache>
            </c:strRef>
          </c:tx>
          <c:spPr>
            <a:solidFill>
              <a:schemeClr val="accent5">
                <a:lumMod val="20000"/>
                <a:lumOff val="80000"/>
                <a:alpha val="52000"/>
              </a:schemeClr>
            </a:solidFill>
            <a:ln w="12700">
              <a:solidFill>
                <a:schemeClr val="bg1"/>
              </a:solidFill>
            </a:ln>
            <a:effectLst/>
          </c:spPr>
          <c:invertIfNegative val="0"/>
          <c:dPt>
            <c:idx val="0"/>
            <c:invertIfNegative val="0"/>
            <c:bubble3D val="0"/>
            <c:spPr>
              <a:solidFill>
                <a:schemeClr val="accent5">
                  <a:lumMod val="20000"/>
                  <a:lumOff val="80000"/>
                  <a:alpha val="50000"/>
                </a:schemeClr>
              </a:solidFill>
              <a:ln w="12700">
                <a:solidFill>
                  <a:schemeClr val="bg1"/>
                </a:solidFill>
              </a:ln>
              <a:effectLst/>
            </c:spPr>
            <c:extLst>
              <c:ext xmlns:c16="http://schemas.microsoft.com/office/drawing/2014/chart" uri="{C3380CC4-5D6E-409C-BE32-E72D297353CC}">
                <c16:uniqueId val="{00000001-8A7A-4F00-8774-06BE55A429FA}"/>
              </c:ext>
            </c:extLst>
          </c:dPt>
          <c:dLbls>
            <c:dLbl>
              <c:idx val="0"/>
              <c:tx>
                <c:rich>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fld id="{B9C9126D-C4D8-43F6-97DF-B362DEDD1DE5}" type="CELLRANGE">
                      <a:rPr lang="en-US"/>
                      <a:pPr>
                        <a:defRPr>
                          <a:solidFill>
                            <a:srgbClr val="00B0F0"/>
                          </a:solidFill>
                        </a:defRPr>
                      </a:pPr>
                      <a:t>[CELLRANGE]</a:t>
                    </a:fld>
                    <a:endParaRPr lang="lv-LV"/>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8A7A-4F00-8774-06BE55A429F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COM_DP!$G$15</c:f>
              <c:numCache>
                <c:formatCode>0.0%</c:formatCode>
                <c:ptCount val="1"/>
                <c:pt idx="0">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8A7A-4F00-8774-06BE55A429FA}"/>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COM_DP!$F$9</c:f>
              <c:strCache>
                <c:ptCount val="1"/>
                <c:pt idx="0">
                  <c:v>Dividend payout ratio</c:v>
                </c:pt>
              </c:strCache>
            </c:strRef>
          </c:tx>
          <c:spPr>
            <a:ln w="12700" cap="rnd">
              <a:solidFill>
                <a:schemeClr val="accent5"/>
              </a:solidFill>
              <a:prstDash val="sysDash"/>
              <a:round/>
            </a:ln>
            <a:effectLst/>
          </c:spPr>
          <c:marker>
            <c:symbol val="x"/>
            <c:size val="5"/>
            <c:spPr>
              <a:noFill/>
              <a:ln w="9525">
                <a:solidFill>
                  <a:schemeClr val="accent1"/>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COM_DP!$G$9:$J$9</c:f>
              <c:numCache>
                <c:formatCode>0.0%</c:formatCode>
                <c:ptCount val="4"/>
              </c:numCache>
            </c:numRef>
          </c:val>
          <c:smooth val="0"/>
          <c:extLst>
            <c:ext xmlns:c16="http://schemas.microsoft.com/office/drawing/2014/chart" uri="{C3380CC4-5D6E-409C-BE32-E72D297353CC}">
              <c16:uniqueId val="{00000009-8A7A-4F00-8774-06BE55A429FA}"/>
            </c:ext>
          </c:extLst>
        </c:ser>
        <c:ser>
          <c:idx val="1"/>
          <c:order val="1"/>
          <c:tx>
            <c:strRef>
              <c:f>COM_DP!$H$6</c:f>
              <c:strCache>
                <c:ptCount val="1"/>
                <c:pt idx="0">
                  <c:v>Benchmark value</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A7A-4F00-8774-06BE55A429FA}"/>
                </c:ext>
              </c:extLst>
            </c:dLbl>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COM_DP!$G$6</c:f>
              <c:numCache>
                <c:formatCode>0.0%</c:formatCode>
                <c:ptCount val="1"/>
                <c:pt idx="0">
                  <c:v>0</c:v>
                </c:pt>
              </c:numCache>
            </c:numRef>
          </c:val>
          <c:smooth val="0"/>
          <c:extLst>
            <c:ext xmlns:c16="http://schemas.microsoft.com/office/drawing/2014/chart" uri="{C3380CC4-5D6E-409C-BE32-E72D297353CC}">
              <c16:uniqueId val="{0000000B-8A7A-4F00-8774-06BE55A429FA}"/>
            </c:ext>
          </c:extLst>
        </c:ser>
        <c:ser>
          <c:idx val="2"/>
          <c:order val="2"/>
          <c:tx>
            <c:strRef>
              <c:f>COM_DP!$H$11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COM_DP!$G$11</c:f>
              <c:numCache>
                <c:formatCode>0.0%</c:formatCode>
                <c:ptCount val="1"/>
                <c:pt idx="0">
                  <c:v>0</c:v>
                </c:pt>
              </c:numCache>
            </c:numRef>
          </c:val>
          <c:smooth val="0"/>
          <c:extLst>
            <c:ext xmlns:c16="http://schemas.microsoft.com/office/drawing/2014/chart" uri="{C3380CC4-5D6E-409C-BE32-E72D297353CC}">
              <c16:uniqueId val="{0000000C-8A7A-4F00-8774-06BE55A429FA}"/>
            </c:ext>
          </c:extLst>
        </c:ser>
        <c:ser>
          <c:idx val="3"/>
          <c:order val="3"/>
          <c:tx>
            <c:strRef>
              <c:f>COM_DP!$H$13</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COM_DP!$G$13</c:f>
              <c:numCache>
                <c:formatCode>0.0%</c:formatCode>
                <c:ptCount val="1"/>
                <c:pt idx="0">
                  <c:v>0</c:v>
                </c:pt>
              </c:numCache>
            </c:numRef>
          </c:val>
          <c:smooth val="0"/>
          <c:extLst>
            <c:ext xmlns:c16="http://schemas.microsoft.com/office/drawing/2014/chart" uri="{C3380CC4-5D6E-409C-BE32-E72D297353CC}">
              <c16:uniqueId val="{0000000D-8A7A-4F00-8774-06BE55A429FA}"/>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987716034302395"/>
          <c:w val="1"/>
          <c:h val="0.1676121749697755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1291380559889E-2"/>
          <c:y val="3.5465268512080379E-2"/>
          <c:w val="0.85205298247122552"/>
          <c:h val="0.7399074770258981"/>
        </c:manualLayout>
      </c:layout>
      <c:barChart>
        <c:barDir val="col"/>
        <c:grouping val="clustered"/>
        <c:varyColors val="0"/>
        <c:ser>
          <c:idx val="4"/>
          <c:order val="4"/>
          <c:tx>
            <c:strRef>
              <c:f>COM_CS!$F$15</c:f>
              <c:strCache>
                <c:ptCount val="1"/>
                <c:pt idx="0">
                  <c:v>Benchmark period</c:v>
                </c:pt>
              </c:strCache>
            </c:strRef>
          </c:tx>
          <c:spPr>
            <a:solidFill>
              <a:schemeClr val="accent5">
                <a:lumMod val="20000"/>
                <a:lumOff val="80000"/>
                <a:alpha val="52000"/>
              </a:schemeClr>
            </a:solidFill>
            <a:ln w="12700">
              <a:solidFill>
                <a:schemeClr val="bg1"/>
              </a:solidFill>
            </a:ln>
            <a:effectLst/>
          </c:spPr>
          <c:invertIfNegative val="0"/>
          <c:dPt>
            <c:idx val="0"/>
            <c:invertIfNegative val="0"/>
            <c:bubble3D val="0"/>
            <c:spPr>
              <a:solidFill>
                <a:schemeClr val="accent5">
                  <a:lumMod val="20000"/>
                  <a:lumOff val="80000"/>
                  <a:alpha val="50000"/>
                </a:schemeClr>
              </a:solidFill>
              <a:ln w="12700">
                <a:solidFill>
                  <a:schemeClr val="bg1"/>
                </a:solidFill>
              </a:ln>
              <a:effectLst/>
            </c:spPr>
            <c:extLst>
              <c:ext xmlns:c16="http://schemas.microsoft.com/office/drawing/2014/chart" uri="{C3380CC4-5D6E-409C-BE32-E72D297353CC}">
                <c16:uniqueId val="{00000001-0398-4438-B53B-04F77BDDC8F1}"/>
              </c:ext>
            </c:extLst>
          </c:dPt>
          <c:dPt>
            <c:idx val="1"/>
            <c:invertIfNegative val="0"/>
            <c:bubble3D val="0"/>
            <c:spPr>
              <a:solidFill>
                <a:schemeClr val="bg1">
                  <a:lumMod val="95000"/>
                  <a:alpha val="50000"/>
                </a:schemeClr>
              </a:solidFill>
              <a:ln w="12700">
                <a:solidFill>
                  <a:schemeClr val="bg1"/>
                </a:solidFill>
              </a:ln>
              <a:effectLst/>
            </c:spPr>
            <c:extLst>
              <c:ext xmlns:c16="http://schemas.microsoft.com/office/drawing/2014/chart" uri="{C3380CC4-5D6E-409C-BE32-E72D297353CC}">
                <c16:uniqueId val="{00000003-0398-4438-B53B-04F77BDDC8F1}"/>
              </c:ext>
            </c:extLst>
          </c:dPt>
          <c:dPt>
            <c:idx val="2"/>
            <c:invertIfNegative val="0"/>
            <c:bubble3D val="0"/>
            <c:spPr>
              <a:solidFill>
                <a:schemeClr val="bg1">
                  <a:lumMod val="95000"/>
                  <a:alpha val="50000"/>
                </a:schemeClr>
              </a:solidFill>
              <a:ln w="12700">
                <a:solidFill>
                  <a:schemeClr val="bg1"/>
                </a:solidFill>
              </a:ln>
              <a:effectLst/>
            </c:spPr>
            <c:extLst>
              <c:ext xmlns:c16="http://schemas.microsoft.com/office/drawing/2014/chart" uri="{C3380CC4-5D6E-409C-BE32-E72D297353CC}">
                <c16:uniqueId val="{00000005-0398-4438-B53B-04F77BDDC8F1}"/>
              </c:ext>
            </c:extLst>
          </c:dPt>
          <c:dPt>
            <c:idx val="3"/>
            <c:invertIfNegative val="0"/>
            <c:bubble3D val="0"/>
            <c:spPr>
              <a:solidFill>
                <a:schemeClr val="bg1">
                  <a:lumMod val="95000"/>
                  <a:alpha val="50000"/>
                </a:schemeClr>
              </a:solidFill>
              <a:ln w="12700">
                <a:solidFill>
                  <a:schemeClr val="bg1"/>
                </a:solidFill>
              </a:ln>
              <a:effectLst/>
            </c:spPr>
            <c:extLst>
              <c:ext xmlns:c16="http://schemas.microsoft.com/office/drawing/2014/chart" uri="{C3380CC4-5D6E-409C-BE32-E72D297353CC}">
                <c16:uniqueId val="{00000007-0398-4438-B53B-04F77BDDC8F1}"/>
              </c:ext>
            </c:extLst>
          </c:dPt>
          <c:dLbls>
            <c:dLbl>
              <c:idx val="0"/>
              <c:tx>
                <c:rich>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fld id="{B675ADC4-1C50-486C-A016-995CBB847C8F}" type="CELLRANGE">
                      <a:rPr lang="en-US"/>
                      <a:pPr>
                        <a:defRPr>
                          <a:solidFill>
                            <a:srgbClr val="00B0F0"/>
                          </a:solidFill>
                        </a:defRPr>
                      </a:pPr>
                      <a:t>[CELLRANGE]</a:t>
                    </a:fld>
                    <a:endParaRPr lang="lv-LV"/>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0398-4438-B53B-04F77BDDC8F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98-4438-B53B-04F77BDDC8F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8-4438-B53B-04F77BDDC8F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98-4438-B53B-04F77BDDC8F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COM_CS!$G$15:$J$15</c:f>
              <c:numCache>
                <c:formatCode>0.00</c:formatCode>
                <c:ptCount val="4"/>
                <c:pt idx="0">
                  <c:v>0</c:v>
                </c:pt>
                <c:pt idx="1">
                  <c:v>0</c:v>
                </c:pt>
                <c:pt idx="2">
                  <c:v>0</c:v>
                </c:pt>
                <c:pt idx="3">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0398-4438-B53B-04F77BDDC8F1}"/>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COM_CS!$F$9</c:f>
              <c:strCache>
                <c:ptCount val="1"/>
                <c:pt idx="0">
                  <c:v>0</c:v>
                </c:pt>
              </c:strCache>
            </c:strRef>
          </c:tx>
          <c:spPr>
            <a:ln w="12700" cap="rnd">
              <a:solidFill>
                <a:schemeClr val="accent5"/>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COM_CS!$G$9:$J$9</c:f>
              <c:numCache>
                <c:formatCode>0.00</c:formatCode>
                <c:ptCount val="4"/>
              </c:numCache>
            </c:numRef>
          </c:val>
          <c:smooth val="0"/>
          <c:extLst>
            <c:ext xmlns:c16="http://schemas.microsoft.com/office/drawing/2014/chart" uri="{C3380CC4-5D6E-409C-BE32-E72D297353CC}">
              <c16:uniqueId val="{00000009-0398-4438-B53B-04F77BDDC8F1}"/>
            </c:ext>
          </c:extLst>
        </c:ser>
        <c:ser>
          <c:idx val="1"/>
          <c:order val="1"/>
          <c:tx>
            <c:strRef>
              <c:f>COM_CS!$H$6</c:f>
              <c:strCache>
                <c:ptCount val="1"/>
                <c:pt idx="0">
                  <c:v>Benchmark value</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398-4438-B53B-04F77BDDC8F1}"/>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COM_CS!$G$6</c:f>
              <c:numCache>
                <c:formatCode>0.00</c:formatCode>
                <c:ptCount val="1"/>
                <c:pt idx="0">
                  <c:v>0</c:v>
                </c:pt>
              </c:numCache>
            </c:numRef>
          </c:val>
          <c:smooth val="0"/>
          <c:extLst>
            <c:ext xmlns:c16="http://schemas.microsoft.com/office/drawing/2014/chart" uri="{C3380CC4-5D6E-409C-BE32-E72D297353CC}">
              <c16:uniqueId val="{0000000B-0398-4438-B53B-04F77BDDC8F1}"/>
            </c:ext>
          </c:extLst>
        </c:ser>
        <c:ser>
          <c:idx val="2"/>
          <c:order val="2"/>
          <c:tx>
            <c:strRef>
              <c:f>COM_CS!$H$11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COM_CS!$G$11</c:f>
              <c:numCache>
                <c:formatCode>0.00</c:formatCode>
                <c:ptCount val="1"/>
                <c:pt idx="0">
                  <c:v>0</c:v>
                </c:pt>
              </c:numCache>
            </c:numRef>
          </c:val>
          <c:smooth val="0"/>
          <c:extLst>
            <c:ext xmlns:c16="http://schemas.microsoft.com/office/drawing/2014/chart" uri="{C3380CC4-5D6E-409C-BE32-E72D297353CC}">
              <c16:uniqueId val="{0000000C-0398-4438-B53B-04F77BDDC8F1}"/>
            </c:ext>
          </c:extLst>
        </c:ser>
        <c:ser>
          <c:idx val="3"/>
          <c:order val="3"/>
          <c:tx>
            <c:strRef>
              <c:f>COM_CS!$H$13</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COM_CS!$G$13</c:f>
              <c:numCache>
                <c:formatCode>0.00</c:formatCode>
                <c:ptCount val="1"/>
                <c:pt idx="0">
                  <c:v>0</c:v>
                </c:pt>
              </c:numCache>
            </c:numRef>
          </c:val>
          <c:smooth val="0"/>
          <c:extLst>
            <c:ext xmlns:c16="http://schemas.microsoft.com/office/drawing/2014/chart" uri="{C3380CC4-5D6E-409C-BE32-E72D297353CC}">
              <c16:uniqueId val="{0000000D-0398-4438-B53B-04F77BDDC8F1}"/>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987716034302395"/>
          <c:w val="1"/>
          <c:h val="0.1676121749697755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1291380559889E-2"/>
          <c:y val="3.5465268512080379E-2"/>
          <c:w val="0.85205298247122552"/>
          <c:h val="0.7399074770258981"/>
        </c:manualLayout>
      </c:layout>
      <c:barChart>
        <c:barDir val="col"/>
        <c:grouping val="clustered"/>
        <c:varyColors val="0"/>
        <c:ser>
          <c:idx val="4"/>
          <c:order val="4"/>
          <c:tx>
            <c:strRef>
              <c:f>COM_DP!$F$15</c:f>
              <c:strCache>
                <c:ptCount val="1"/>
                <c:pt idx="0">
                  <c:v>Benchmark period</c:v>
                </c:pt>
              </c:strCache>
            </c:strRef>
          </c:tx>
          <c:spPr>
            <a:solidFill>
              <a:schemeClr val="accent5">
                <a:lumMod val="20000"/>
                <a:lumOff val="80000"/>
                <a:alpha val="52000"/>
              </a:schemeClr>
            </a:solidFill>
            <a:ln w="12700">
              <a:solidFill>
                <a:schemeClr val="bg1"/>
              </a:solidFill>
            </a:ln>
            <a:effectLst/>
          </c:spPr>
          <c:invertIfNegative val="0"/>
          <c:dPt>
            <c:idx val="0"/>
            <c:invertIfNegative val="0"/>
            <c:bubble3D val="0"/>
            <c:spPr>
              <a:solidFill>
                <a:schemeClr val="accent5">
                  <a:lumMod val="20000"/>
                  <a:lumOff val="80000"/>
                  <a:alpha val="50000"/>
                </a:schemeClr>
              </a:solidFill>
              <a:ln w="12700">
                <a:solidFill>
                  <a:schemeClr val="bg1"/>
                </a:solidFill>
              </a:ln>
              <a:effectLst/>
            </c:spPr>
            <c:extLst>
              <c:ext xmlns:c16="http://schemas.microsoft.com/office/drawing/2014/chart" uri="{C3380CC4-5D6E-409C-BE32-E72D297353CC}">
                <c16:uniqueId val="{00000001-8A93-41B5-B56B-2556D089F4D1}"/>
              </c:ext>
            </c:extLst>
          </c:dPt>
          <c:dLbls>
            <c:dLbl>
              <c:idx val="0"/>
              <c:tx>
                <c:rich>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fld id="{89853C19-7A05-48E6-BE7A-664DFA8F47E4}" type="CELLRANGE">
                      <a:rPr lang="en-US"/>
                      <a:pPr>
                        <a:defRPr>
                          <a:solidFill>
                            <a:srgbClr val="00B0F0"/>
                          </a:solidFill>
                        </a:defRPr>
                      </a:pPr>
                      <a:t>[CELLRANGE]</a:t>
                    </a:fld>
                    <a:endParaRPr lang="lv-LV"/>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8A93-41B5-B56B-2556D089F4D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COM_DP!$G$15</c:f>
              <c:numCache>
                <c:formatCode>0.0%</c:formatCode>
                <c:ptCount val="1"/>
                <c:pt idx="0">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2-8A93-41B5-B56B-2556D089F4D1}"/>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COM_DP!$F$9</c:f>
              <c:strCache>
                <c:ptCount val="1"/>
                <c:pt idx="0">
                  <c:v>Dividend payout ratio</c:v>
                </c:pt>
              </c:strCache>
            </c:strRef>
          </c:tx>
          <c:spPr>
            <a:ln w="12700" cap="rnd">
              <a:solidFill>
                <a:schemeClr val="accent5"/>
              </a:solidFill>
              <a:prstDash val="sysDash"/>
              <a:round/>
            </a:ln>
            <a:effectLst/>
          </c:spPr>
          <c:marker>
            <c:symbol val="x"/>
            <c:size val="5"/>
            <c:spPr>
              <a:noFill/>
              <a:ln w="9525">
                <a:solidFill>
                  <a:schemeClr val="accent1"/>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COM_DP!$G$9:$J$9</c:f>
              <c:numCache>
                <c:formatCode>0.0%</c:formatCode>
                <c:ptCount val="4"/>
              </c:numCache>
            </c:numRef>
          </c:val>
          <c:smooth val="0"/>
          <c:extLst>
            <c:ext xmlns:c16="http://schemas.microsoft.com/office/drawing/2014/chart" uri="{C3380CC4-5D6E-409C-BE32-E72D297353CC}">
              <c16:uniqueId val="{00000003-8A93-41B5-B56B-2556D089F4D1}"/>
            </c:ext>
          </c:extLst>
        </c:ser>
        <c:ser>
          <c:idx val="1"/>
          <c:order val="1"/>
          <c:tx>
            <c:strRef>
              <c:f>COM_DP!$H$6</c:f>
              <c:strCache>
                <c:ptCount val="1"/>
                <c:pt idx="0">
                  <c:v>Benchmark value</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93-41B5-B56B-2556D089F4D1}"/>
                </c:ext>
              </c:extLst>
            </c:dLbl>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COM_DP!$G$6</c:f>
              <c:numCache>
                <c:formatCode>0.0%</c:formatCode>
                <c:ptCount val="1"/>
                <c:pt idx="0">
                  <c:v>0</c:v>
                </c:pt>
              </c:numCache>
            </c:numRef>
          </c:val>
          <c:smooth val="0"/>
          <c:extLst>
            <c:ext xmlns:c16="http://schemas.microsoft.com/office/drawing/2014/chart" uri="{C3380CC4-5D6E-409C-BE32-E72D297353CC}">
              <c16:uniqueId val="{00000005-8A93-41B5-B56B-2556D089F4D1}"/>
            </c:ext>
          </c:extLst>
        </c:ser>
        <c:ser>
          <c:idx val="2"/>
          <c:order val="2"/>
          <c:tx>
            <c:strRef>
              <c:f>COM_DP!$H$11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COM_DP!$G$11</c:f>
              <c:numCache>
                <c:formatCode>0.0%</c:formatCode>
                <c:ptCount val="1"/>
                <c:pt idx="0">
                  <c:v>0</c:v>
                </c:pt>
              </c:numCache>
            </c:numRef>
          </c:val>
          <c:smooth val="0"/>
          <c:extLst>
            <c:ext xmlns:c16="http://schemas.microsoft.com/office/drawing/2014/chart" uri="{C3380CC4-5D6E-409C-BE32-E72D297353CC}">
              <c16:uniqueId val="{00000006-8A93-41B5-B56B-2556D089F4D1}"/>
            </c:ext>
          </c:extLst>
        </c:ser>
        <c:ser>
          <c:idx val="3"/>
          <c:order val="3"/>
          <c:tx>
            <c:strRef>
              <c:f>COM_DP!$H$13</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COM_DP!$G$13</c:f>
              <c:numCache>
                <c:formatCode>0.0%</c:formatCode>
                <c:ptCount val="1"/>
                <c:pt idx="0">
                  <c:v>0</c:v>
                </c:pt>
              </c:numCache>
            </c:numRef>
          </c:val>
          <c:smooth val="0"/>
          <c:extLst>
            <c:ext xmlns:c16="http://schemas.microsoft.com/office/drawing/2014/chart" uri="{C3380CC4-5D6E-409C-BE32-E72D297353CC}">
              <c16:uniqueId val="{00000007-8A93-41B5-B56B-2556D089F4D1}"/>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987716034302395"/>
          <c:w val="1"/>
          <c:h val="0.1676121749697755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COM_RT!$F$23</c:f>
              <c:strCache>
                <c:ptCount val="1"/>
                <c:pt idx="0">
                  <c:v>Benchmark period</c:v>
                </c:pt>
              </c:strCache>
            </c:strRef>
          </c:tx>
          <c:spPr>
            <a:solidFill>
              <a:schemeClr val="accent5"/>
            </a:solidFill>
            <a:ln>
              <a:noFill/>
            </a:ln>
            <a:effectLst/>
          </c:spPr>
          <c:invertIfNegative val="0"/>
          <c:dPt>
            <c:idx val="0"/>
            <c:invertIfNegative val="0"/>
            <c:bubble3D val="0"/>
            <c:spPr>
              <a:solidFill>
                <a:schemeClr val="accent5">
                  <a:lumMod val="20000"/>
                  <a:lumOff val="80000"/>
                  <a:alpha val="50000"/>
                </a:schemeClr>
              </a:solidFill>
              <a:ln>
                <a:solidFill>
                  <a:schemeClr val="bg1"/>
                </a:solidFill>
              </a:ln>
              <a:effectLst/>
            </c:spPr>
            <c:extLst>
              <c:ext xmlns:c16="http://schemas.microsoft.com/office/drawing/2014/chart" uri="{C3380CC4-5D6E-409C-BE32-E72D297353CC}">
                <c16:uniqueId val="{00000001-91CB-4E4B-97B4-4A1E7675C7BE}"/>
              </c:ext>
            </c:extLst>
          </c:dPt>
          <c:dPt>
            <c:idx val="1"/>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3-91CB-4E4B-97B4-4A1E7675C7BE}"/>
              </c:ext>
            </c:extLst>
          </c:dPt>
          <c:dPt>
            <c:idx val="2"/>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5-91CB-4E4B-97B4-4A1E7675C7BE}"/>
              </c:ext>
            </c:extLst>
          </c:dPt>
          <c:dPt>
            <c:idx val="3"/>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7-91CB-4E4B-97B4-4A1E7675C7BE}"/>
              </c:ext>
            </c:extLst>
          </c:dPt>
          <c:dLbls>
            <c:dLbl>
              <c:idx val="0"/>
              <c:tx>
                <c:rich>
                  <a:bodyPr/>
                  <a:lstStyle/>
                  <a:p>
                    <a:fld id="{4542956D-3943-44D4-AFA2-B2CF671D4D73}"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91CB-4E4B-97B4-4A1E7675C7BE}"/>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CB-4E4B-97B4-4A1E7675C7BE}"/>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CB-4E4B-97B4-4A1E7675C7BE}"/>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CB-4E4B-97B4-4A1E7675C7BE}"/>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COM_RT!$G$21:$J$21</c:f>
              <c:strCache>
                <c:ptCount val="4"/>
                <c:pt idx="0">
                  <c:v>CY</c:v>
                </c:pt>
                <c:pt idx="1">
                  <c:v>CY-1</c:v>
                </c:pt>
                <c:pt idx="2">
                  <c:v>CY-2</c:v>
                </c:pt>
                <c:pt idx="3">
                  <c:v>CY-3</c:v>
                </c:pt>
              </c:strCache>
            </c:strRef>
          </c:cat>
          <c:val>
            <c:numRef>
              <c:f>COM_RT!$G$23:$J$23</c:f>
              <c:numCache>
                <c:formatCode>0.00%</c:formatCode>
                <c:ptCount val="4"/>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91CB-4E4B-97B4-4A1E7675C7BE}"/>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COM_RT!$F$22</c:f>
              <c:strCache>
                <c:ptCount val="1"/>
                <c:pt idx="0">
                  <c:v>ROE (commercial)</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COM_RT!$G$22:$J$22</c:f>
              <c:numCache>
                <c:formatCode>0.00%</c:formatCode>
                <c:ptCount val="4"/>
              </c:numCache>
            </c:numRef>
          </c:val>
          <c:smooth val="0"/>
          <c:extLst>
            <c:ext xmlns:c16="http://schemas.microsoft.com/office/drawing/2014/chart" uri="{C3380CC4-5D6E-409C-BE32-E72D297353CC}">
              <c16:uniqueId val="{00000009-91CB-4E4B-97B4-4A1E7675C7BE}"/>
            </c:ext>
          </c:extLst>
        </c:ser>
        <c:ser>
          <c:idx val="1"/>
          <c:order val="1"/>
          <c:tx>
            <c:strRef>
              <c:f>COM_RT!$H$6</c:f>
              <c:strCache>
                <c:ptCount val="1"/>
                <c:pt idx="0">
                  <c:v>Benchmark value (commercial)</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1CB-4E4B-97B4-4A1E7675C7BE}"/>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COM_RT!$G$6</c:f>
              <c:numCache>
                <c:formatCode>0.00%</c:formatCode>
                <c:ptCount val="1"/>
                <c:pt idx="0">
                  <c:v>0</c:v>
                </c:pt>
              </c:numCache>
            </c:numRef>
          </c:val>
          <c:smooth val="0"/>
          <c:extLst>
            <c:ext xmlns:c16="http://schemas.microsoft.com/office/drawing/2014/chart" uri="{C3380CC4-5D6E-409C-BE32-E72D297353CC}">
              <c16:uniqueId val="{0000000B-91CB-4E4B-97B4-4A1E7675C7BE}"/>
            </c:ext>
          </c:extLst>
        </c:ser>
        <c:ser>
          <c:idx val="2"/>
          <c:order val="2"/>
          <c:tx>
            <c:strRef>
              <c:f>COM_RT!$H$31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COM_RT!$G$31</c:f>
              <c:numCache>
                <c:formatCode>0.00%</c:formatCode>
                <c:ptCount val="1"/>
                <c:pt idx="0">
                  <c:v>0</c:v>
                </c:pt>
              </c:numCache>
            </c:numRef>
          </c:val>
          <c:smooth val="0"/>
          <c:extLst>
            <c:ext xmlns:c16="http://schemas.microsoft.com/office/drawing/2014/chart" uri="{C3380CC4-5D6E-409C-BE32-E72D297353CC}">
              <c16:uniqueId val="{0000000C-91CB-4E4B-97B4-4A1E7675C7BE}"/>
            </c:ext>
          </c:extLst>
        </c:ser>
        <c:ser>
          <c:idx val="3"/>
          <c:order val="3"/>
          <c:tx>
            <c:strRef>
              <c:f>COM_RT!$H$32</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1CB-4E4B-97B4-4A1E7675C7BE}"/>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COM_RT!$G$32</c:f>
              <c:numCache>
                <c:formatCode>0.00%</c:formatCode>
                <c:ptCount val="1"/>
                <c:pt idx="0">
                  <c:v>0</c:v>
                </c:pt>
              </c:numCache>
            </c:numRef>
          </c:val>
          <c:smooth val="0"/>
          <c:extLst>
            <c:ext xmlns:c16="http://schemas.microsoft.com/office/drawing/2014/chart" uri="{C3380CC4-5D6E-409C-BE32-E72D297353CC}">
              <c16:uniqueId val="{0000000E-91CB-4E4B-97B4-4A1E7675C7BE}"/>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185666847321037E-2"/>
          <c:y val="3.9512313505790632E-2"/>
          <c:w val="0.91865985966972652"/>
          <c:h val="0.72190310203540176"/>
        </c:manualLayout>
      </c:layout>
      <c:lineChart>
        <c:grouping val="standard"/>
        <c:varyColors val="0"/>
        <c:ser>
          <c:idx val="0"/>
          <c:order val="0"/>
          <c:tx>
            <c:strRef>
              <c:f>'COM_RT (f)'!$F$31</c:f>
              <c:strCache>
                <c:ptCount val="1"/>
                <c:pt idx="0">
                  <c:v>Discretionary target setting - ROE (regulated)</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2797-41C4-8D27-7A08E41BD0E6}"/>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2797-41C4-8D27-7A08E41BD0E6}"/>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2797-41C4-8D27-7A08E41BD0E6}"/>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2797-41C4-8D27-7A08E41BD0E6}"/>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2797-41C4-8D27-7A08E41BD0E6}"/>
                </c:ext>
              </c:extLst>
            </c:dLbl>
            <c:dLbl>
              <c:idx val="8"/>
              <c:delete val="1"/>
              <c:extLst>
                <c:ext xmlns:c15="http://schemas.microsoft.com/office/drawing/2012/chart" uri="{CE6537A1-D6FC-4f65-9D91-7224C49458BB}"/>
                <c:ext xmlns:c16="http://schemas.microsoft.com/office/drawing/2014/chart" uri="{C3380CC4-5D6E-409C-BE32-E72D297353CC}">
                  <c16:uniqueId val="{00000003-D959-44C3-8E91-89A079558CA8}"/>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(f)'!$G$31:$O$31</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0-BFC1-4555-987C-5845A326532D}"/>
            </c:ext>
          </c:extLst>
        </c:ser>
        <c:ser>
          <c:idx val="1"/>
          <c:order val="1"/>
          <c:tx>
            <c:strRef>
              <c:f>'COM_RT (f)'!$F$32</c:f>
              <c:strCache>
                <c:ptCount val="1"/>
                <c:pt idx="0">
                  <c:v> Linear/stepped approach - ROE (regulated)</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6-2797-41C4-8D27-7A08E41BD0E6}"/>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2797-41C4-8D27-7A08E41BD0E6}"/>
                </c:ext>
              </c:extLst>
            </c:dLbl>
            <c:dLbl>
              <c:idx val="8"/>
              <c:delete val="1"/>
              <c:extLst>
                <c:ext xmlns:c15="http://schemas.microsoft.com/office/drawing/2012/chart" uri="{CE6537A1-D6FC-4f65-9D91-7224C49458BB}"/>
                <c:ext xmlns:c16="http://schemas.microsoft.com/office/drawing/2014/chart" uri="{C3380CC4-5D6E-409C-BE32-E72D297353CC}">
                  <c16:uniqueId val="{00000002-D959-44C3-8E91-89A079558CA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(f)'!$G$32:$O$32</c:f>
              <c:numCache>
                <c:formatCode>0.00%</c:formatCode>
                <c:ptCount val="9"/>
                <c:pt idx="3">
                  <c:v>0</c:v>
                </c:pt>
                <c:pt idx="4">
                  <c:v>0</c:v>
                </c:pt>
                <c:pt idx="5">
                  <c:v>0</c:v>
                </c:pt>
                <c:pt idx="6">
                  <c:v>0</c:v>
                </c:pt>
                <c:pt idx="7">
                  <c:v>0</c:v>
                </c:pt>
                <c:pt idx="8" formatCode="0.00">
                  <c:v>0</c:v>
                </c:pt>
              </c:numCache>
            </c:numRef>
          </c:val>
          <c:smooth val="0"/>
          <c:extLst>
            <c:ext xmlns:c16="http://schemas.microsoft.com/office/drawing/2014/chart" uri="{C3380CC4-5D6E-409C-BE32-E72D297353CC}">
              <c16:uniqueId val="{00000001-BFC1-4555-987C-5845A326532D}"/>
            </c:ext>
          </c:extLst>
        </c:ser>
        <c:ser>
          <c:idx val="2"/>
          <c:order val="2"/>
          <c:tx>
            <c:strRef>
              <c:f>'COM_RT (f)'!$F$33</c:f>
              <c:strCache>
                <c:ptCount val="1"/>
                <c:pt idx="0">
                  <c:v>Benchmark value (regulated) CY+5</c:v>
                </c:pt>
              </c:strCache>
            </c:strRef>
          </c:tx>
          <c:spPr>
            <a:ln w="25400" cap="rnd">
              <a:noFill/>
              <a:round/>
            </a:ln>
            <a:effectLst/>
          </c:spPr>
          <c:marker>
            <c:symbol val="square"/>
            <c:size val="5"/>
            <c:spPr>
              <a:solidFill>
                <a:schemeClr val="tx1">
                  <a:lumMod val="75000"/>
                  <a:lumOff val="25000"/>
                </a:schemeClr>
              </a:solidFill>
              <a:ln w="9525">
                <a:noFill/>
              </a:ln>
              <a:effectLst/>
            </c:spPr>
          </c:marker>
          <c:dLbls>
            <c:dLbl>
              <c:idx val="8"/>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02-CCD7-4340-8A15-6F1CB91D8DD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(f)'!$G$33:$O$33</c:f>
              <c:numCache>
                <c:formatCode>0.00%</c:formatCode>
                <c:ptCount val="9"/>
                <c:pt idx="8">
                  <c:v>0</c:v>
                </c:pt>
              </c:numCache>
            </c:numRef>
          </c:val>
          <c:smooth val="0"/>
          <c:extLst>
            <c:ext xmlns:c16="http://schemas.microsoft.com/office/drawing/2014/chart" uri="{C3380CC4-5D6E-409C-BE32-E72D297353CC}">
              <c16:uniqueId val="{00000004-BFC1-4555-987C-5845A326532D}"/>
            </c:ext>
          </c:extLst>
        </c:ser>
        <c:ser>
          <c:idx val="4"/>
          <c:order val="3"/>
          <c:tx>
            <c:strRef>
              <c:f>'COM_RT (f)'!$F$35</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(f)'!$G$35:$O$35</c:f>
              <c:numCache>
                <c:formatCode>0.00%</c:formatCode>
                <c:ptCount val="9"/>
                <c:pt idx="8">
                  <c:v>0</c:v>
                </c:pt>
              </c:numCache>
            </c:numRef>
          </c:val>
          <c:smooth val="0"/>
          <c:extLst>
            <c:ext xmlns:c16="http://schemas.microsoft.com/office/drawing/2014/chart" uri="{C3380CC4-5D6E-409C-BE32-E72D297353CC}">
              <c16:uniqueId val="{00000001-2797-41C4-8D27-7A08E41BD0E6}"/>
            </c:ext>
          </c:extLst>
        </c:ser>
        <c:ser>
          <c:idx val="3"/>
          <c:order val="4"/>
          <c:tx>
            <c:strRef>
              <c:f>'COM_RT (f)'!$F$34</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(f)'!$G$34:$O$34</c:f>
              <c:numCache>
                <c:formatCode>0.00%</c:formatCode>
                <c:ptCount val="9"/>
                <c:pt idx="8">
                  <c:v>0</c:v>
                </c:pt>
              </c:numCache>
            </c:numRef>
          </c:val>
          <c:smooth val="0"/>
          <c:extLst>
            <c:ext xmlns:c16="http://schemas.microsoft.com/office/drawing/2014/chart" uri="{C3380CC4-5D6E-409C-BE32-E72D297353CC}">
              <c16:uniqueId val="{00000005-BFC1-4555-987C-5845A326532D}"/>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525327666757132"/>
          <c:w val="1"/>
          <c:h val="0.1642563778484291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COM_RT!$F$25</c:f>
              <c:strCache>
                <c:ptCount val="1"/>
                <c:pt idx="0">
                  <c:v>Benchmark period</c:v>
                </c:pt>
              </c:strCache>
            </c:strRef>
          </c:tx>
          <c:spPr>
            <a:solidFill>
              <a:schemeClr val="accent5"/>
            </a:solidFill>
            <a:ln>
              <a:solidFill>
                <a:schemeClr val="bg1">
                  <a:alpha val="50000"/>
                </a:schemeClr>
              </a:solidFill>
            </a:ln>
            <a:effectLst/>
          </c:spPr>
          <c:invertIfNegative val="0"/>
          <c:dPt>
            <c:idx val="0"/>
            <c:invertIfNegative val="0"/>
            <c:bubble3D val="0"/>
            <c:spPr>
              <a:solidFill>
                <a:schemeClr val="accent5">
                  <a:lumMod val="20000"/>
                  <a:lumOff val="80000"/>
                  <a:alpha val="50000"/>
                </a:schemeClr>
              </a:solidFill>
              <a:ln>
                <a:solidFill>
                  <a:schemeClr val="bg1">
                    <a:alpha val="50000"/>
                  </a:schemeClr>
                </a:solidFill>
              </a:ln>
              <a:effectLst/>
            </c:spPr>
            <c:extLst>
              <c:ext xmlns:c16="http://schemas.microsoft.com/office/drawing/2014/chart" uri="{C3380CC4-5D6E-409C-BE32-E72D297353CC}">
                <c16:uniqueId val="{00000001-3DC0-42F1-AB32-FFEF32B57F51}"/>
              </c:ext>
            </c:extLst>
          </c:dPt>
          <c:dPt>
            <c:idx val="1"/>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3-3DC0-42F1-AB32-FFEF32B57F51}"/>
              </c:ext>
            </c:extLst>
          </c:dPt>
          <c:dPt>
            <c:idx val="2"/>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5-3DC0-42F1-AB32-FFEF32B57F51}"/>
              </c:ext>
            </c:extLst>
          </c:dPt>
          <c:dPt>
            <c:idx val="3"/>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7-3DC0-42F1-AB32-FFEF32B57F51}"/>
              </c:ext>
            </c:extLst>
          </c:dPt>
          <c:dLbls>
            <c:dLbl>
              <c:idx val="0"/>
              <c:tx>
                <c:rich>
                  <a:bodyPr/>
                  <a:lstStyle/>
                  <a:p>
                    <a:fld id="{67455AD5-E011-437C-AAA0-A8DDAE204B5F}"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DC0-42F1-AB32-FFEF32B57F5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C0-42F1-AB32-FFEF32B57F5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C0-42F1-AB32-FFEF32B57F5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C0-42F1-AB32-FFEF32B57F5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COM_RT!$G$25:$J$25</c:f>
              <c:numCache>
                <c:formatCode>0.00%</c:formatCode>
                <c:ptCount val="4"/>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3DC0-42F1-AB32-FFEF32B57F51}"/>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COM_RT!$F$24</c:f>
              <c:strCache>
                <c:ptCount val="1"/>
                <c:pt idx="0">
                  <c:v>ROE (regulated)</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COM_RT!$G$24:$J$24</c:f>
              <c:numCache>
                <c:formatCode>0.00%</c:formatCode>
                <c:ptCount val="4"/>
              </c:numCache>
            </c:numRef>
          </c:val>
          <c:smooth val="0"/>
          <c:extLst>
            <c:ext xmlns:c16="http://schemas.microsoft.com/office/drawing/2014/chart" uri="{C3380CC4-5D6E-409C-BE32-E72D297353CC}">
              <c16:uniqueId val="{00000009-3DC0-42F1-AB32-FFEF32B57F51}"/>
            </c:ext>
          </c:extLst>
        </c:ser>
        <c:ser>
          <c:idx val="1"/>
          <c:order val="1"/>
          <c:tx>
            <c:strRef>
              <c:f>COM_RT!$H$8</c:f>
              <c:strCache>
                <c:ptCount val="1"/>
                <c:pt idx="0">
                  <c:v>Benchmark value (regulated)</c:v>
                </c:pt>
              </c:strCache>
            </c:strRef>
          </c:tx>
          <c:spPr>
            <a:ln w="28575" cap="rnd">
              <a:no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COM_RT!$G$8</c:f>
              <c:numCache>
                <c:formatCode>0.00%</c:formatCode>
                <c:ptCount val="1"/>
                <c:pt idx="0">
                  <c:v>0</c:v>
                </c:pt>
              </c:numCache>
            </c:numRef>
          </c:val>
          <c:smooth val="0"/>
          <c:extLst>
            <c:ext xmlns:c16="http://schemas.microsoft.com/office/drawing/2014/chart" uri="{C3380CC4-5D6E-409C-BE32-E72D297353CC}">
              <c16:uniqueId val="{0000000A-3DC0-42F1-AB32-FFEF32B57F51}"/>
            </c:ext>
          </c:extLst>
        </c:ser>
        <c:ser>
          <c:idx val="2"/>
          <c:order val="2"/>
          <c:tx>
            <c:strRef>
              <c:f>COM_RT!$H$34</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COM_RT!$G$34</c:f>
              <c:numCache>
                <c:formatCode>0.00%</c:formatCode>
                <c:ptCount val="1"/>
                <c:pt idx="0">
                  <c:v>0</c:v>
                </c:pt>
              </c:numCache>
            </c:numRef>
          </c:val>
          <c:smooth val="0"/>
          <c:extLst>
            <c:ext xmlns:c16="http://schemas.microsoft.com/office/drawing/2014/chart" uri="{C3380CC4-5D6E-409C-BE32-E72D297353CC}">
              <c16:uniqueId val="{0000000B-3DC0-42F1-AB32-FFEF32B57F51}"/>
            </c:ext>
          </c:extLst>
        </c:ser>
        <c:ser>
          <c:idx val="3"/>
          <c:order val="3"/>
          <c:tx>
            <c:strRef>
              <c:f>COM_RT!$H$35</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COM_RT!$G$35</c:f>
              <c:numCache>
                <c:formatCode>0.00%</c:formatCode>
                <c:ptCount val="1"/>
                <c:pt idx="0">
                  <c:v>0</c:v>
                </c:pt>
              </c:numCache>
            </c:numRef>
          </c:val>
          <c:smooth val="0"/>
          <c:extLst>
            <c:ext xmlns:c16="http://schemas.microsoft.com/office/drawing/2014/chart" uri="{C3380CC4-5D6E-409C-BE32-E72D297353CC}">
              <c16:uniqueId val="{0000000C-3DC0-42F1-AB32-FFEF32B57F51}"/>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COM_RT!$F$27</c:f>
              <c:strCache>
                <c:ptCount val="1"/>
                <c:pt idx="0">
                  <c:v>Benchmark period</c:v>
                </c:pt>
              </c:strCache>
            </c:strRef>
          </c:tx>
          <c:spPr>
            <a:solidFill>
              <a:schemeClr val="accent5"/>
            </a:solidFill>
            <a:ln>
              <a:solidFill>
                <a:schemeClr val="bg1"/>
              </a:solidFill>
            </a:ln>
            <a:effectLst/>
          </c:spPr>
          <c:invertIfNegative val="0"/>
          <c:dPt>
            <c:idx val="0"/>
            <c:invertIfNegative val="0"/>
            <c:bubble3D val="0"/>
            <c:spPr>
              <a:solidFill>
                <a:schemeClr val="accent5">
                  <a:lumMod val="20000"/>
                  <a:lumOff val="80000"/>
                  <a:alpha val="50000"/>
                </a:schemeClr>
              </a:solidFill>
              <a:ln>
                <a:solidFill>
                  <a:schemeClr val="bg1">
                    <a:alpha val="50000"/>
                  </a:schemeClr>
                </a:solidFill>
              </a:ln>
              <a:effectLst/>
            </c:spPr>
            <c:extLst>
              <c:ext xmlns:c16="http://schemas.microsoft.com/office/drawing/2014/chart" uri="{C3380CC4-5D6E-409C-BE32-E72D297353CC}">
                <c16:uniqueId val="{00000001-8090-49BD-A41F-B485E4196A4B}"/>
              </c:ext>
            </c:extLst>
          </c:dPt>
          <c:dPt>
            <c:idx val="1"/>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3-8090-49BD-A41F-B485E4196A4B}"/>
              </c:ext>
            </c:extLst>
          </c:dPt>
          <c:dPt>
            <c:idx val="2"/>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5-8090-49BD-A41F-B485E4196A4B}"/>
              </c:ext>
            </c:extLst>
          </c:dPt>
          <c:dPt>
            <c:idx val="3"/>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7-8090-49BD-A41F-B485E4196A4B}"/>
              </c:ext>
            </c:extLst>
          </c:dPt>
          <c:dLbls>
            <c:dLbl>
              <c:idx val="0"/>
              <c:tx>
                <c:rich>
                  <a:bodyPr/>
                  <a:lstStyle/>
                  <a:p>
                    <a:fld id="{EB68731B-6405-4C7B-9933-486CE50BE01E}"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8090-49BD-A41F-B485E4196A4B}"/>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90-49BD-A41F-B485E4196A4B}"/>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90-49BD-A41F-B485E4196A4B}"/>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90-49BD-A41F-B485E4196A4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COM_RT!$G$27:$J$27</c:f>
              <c:numCache>
                <c:formatCode>0.00%</c:formatCode>
                <c:ptCount val="4"/>
                <c:pt idx="0">
                  <c:v>0</c:v>
                </c:pt>
                <c:pt idx="1">
                  <c:v>0</c:v>
                </c:pt>
                <c:pt idx="2">
                  <c:v>0</c:v>
                </c:pt>
                <c:pt idx="3">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8090-49BD-A41F-B485E4196A4B}"/>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COM_RT!$F$26</c:f>
              <c:strCache>
                <c:ptCount val="1"/>
                <c:pt idx="0">
                  <c:v>ROE (state financed)</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COM_RT!$G$26:$J$26</c:f>
              <c:numCache>
                <c:formatCode>0.00%</c:formatCode>
                <c:ptCount val="4"/>
              </c:numCache>
            </c:numRef>
          </c:val>
          <c:smooth val="0"/>
          <c:extLst>
            <c:ext xmlns:c16="http://schemas.microsoft.com/office/drawing/2014/chart" uri="{C3380CC4-5D6E-409C-BE32-E72D297353CC}">
              <c16:uniqueId val="{00000009-8090-49BD-A41F-B485E4196A4B}"/>
            </c:ext>
          </c:extLst>
        </c:ser>
        <c:ser>
          <c:idx val="1"/>
          <c:order val="1"/>
          <c:tx>
            <c:strRef>
              <c:f>COM_RT!$H$10</c:f>
              <c:strCache>
                <c:ptCount val="1"/>
                <c:pt idx="0">
                  <c:v>Benchmark value (state financed)</c:v>
                </c:pt>
              </c:strCache>
            </c:strRef>
          </c:tx>
          <c:spPr>
            <a:ln w="28575" cap="rnd">
              <a:solidFill>
                <a:schemeClr val="accent2"/>
              </a:solid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COM_RT!$G$10</c:f>
              <c:numCache>
                <c:formatCode>0.00%</c:formatCode>
                <c:ptCount val="1"/>
                <c:pt idx="0">
                  <c:v>0</c:v>
                </c:pt>
              </c:numCache>
            </c:numRef>
          </c:val>
          <c:smooth val="0"/>
          <c:extLst>
            <c:ext xmlns:c16="http://schemas.microsoft.com/office/drawing/2014/chart" uri="{C3380CC4-5D6E-409C-BE32-E72D297353CC}">
              <c16:uniqueId val="{0000000A-8090-49BD-A41F-B485E4196A4B}"/>
            </c:ext>
          </c:extLst>
        </c:ser>
        <c:ser>
          <c:idx val="2"/>
          <c:order val="2"/>
          <c:tx>
            <c:strRef>
              <c:f>COM_RT!$H$37</c:f>
              <c:strCache>
                <c:ptCount val="1"/>
                <c:pt idx="0">
                  <c:v>Acceptable deviation lower bracket according to CSCC guidelines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COM_RT!$G$37</c:f>
              <c:numCache>
                <c:formatCode>0.00%</c:formatCode>
                <c:ptCount val="1"/>
                <c:pt idx="0">
                  <c:v>0</c:v>
                </c:pt>
              </c:numCache>
            </c:numRef>
          </c:val>
          <c:smooth val="0"/>
          <c:extLst>
            <c:ext xmlns:c16="http://schemas.microsoft.com/office/drawing/2014/chart" uri="{C3380CC4-5D6E-409C-BE32-E72D297353CC}">
              <c16:uniqueId val="{0000000B-8090-49BD-A41F-B485E4196A4B}"/>
            </c:ext>
          </c:extLst>
        </c:ser>
        <c:ser>
          <c:idx val="3"/>
          <c:order val="3"/>
          <c:tx>
            <c:strRef>
              <c:f>COM_RT!$H$38</c:f>
              <c:strCache>
                <c:ptCount val="1"/>
                <c:pt idx="0">
                  <c:v>Acceptable deviation upper bracket according to CSCC guidelines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COM_RT!$G$38</c:f>
              <c:numCache>
                <c:formatCode>0.00%</c:formatCode>
                <c:ptCount val="1"/>
                <c:pt idx="0">
                  <c:v>0</c:v>
                </c:pt>
              </c:numCache>
            </c:numRef>
          </c:val>
          <c:smooth val="0"/>
          <c:extLst>
            <c:ext xmlns:c16="http://schemas.microsoft.com/office/drawing/2014/chart" uri="{C3380CC4-5D6E-409C-BE32-E72D297353CC}">
              <c16:uniqueId val="{0000000C-8090-49BD-A41F-B485E4196A4B}"/>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1291380559889E-2"/>
          <c:y val="3.5465268512080379E-2"/>
          <c:w val="0.85205298247122552"/>
          <c:h val="0.7399074770258981"/>
        </c:manualLayout>
      </c:layout>
      <c:barChart>
        <c:barDir val="col"/>
        <c:grouping val="clustered"/>
        <c:varyColors val="0"/>
        <c:ser>
          <c:idx val="4"/>
          <c:order val="4"/>
          <c:tx>
            <c:strRef>
              <c:f>SD_CS!$F$15</c:f>
              <c:strCache>
                <c:ptCount val="1"/>
                <c:pt idx="0">
                  <c:v>Benchmark period</c:v>
                </c:pt>
              </c:strCache>
            </c:strRef>
          </c:tx>
          <c:spPr>
            <a:solidFill>
              <a:schemeClr val="accent2">
                <a:lumMod val="20000"/>
                <a:lumOff val="80000"/>
                <a:alpha val="52000"/>
              </a:schemeClr>
            </a:solidFill>
            <a:ln w="12700">
              <a:solidFill>
                <a:schemeClr val="bg1"/>
              </a:solidFill>
            </a:ln>
            <a:effectLst/>
          </c:spPr>
          <c:invertIfNegative val="0"/>
          <c:dPt>
            <c:idx val="0"/>
            <c:invertIfNegative val="0"/>
            <c:bubble3D val="0"/>
            <c:spPr>
              <a:solidFill>
                <a:schemeClr val="accent2">
                  <a:lumMod val="20000"/>
                  <a:lumOff val="80000"/>
                  <a:alpha val="52000"/>
                </a:schemeClr>
              </a:solidFill>
              <a:ln w="12700">
                <a:solidFill>
                  <a:schemeClr val="bg1"/>
                </a:solidFill>
              </a:ln>
              <a:effectLst/>
            </c:spPr>
            <c:extLst>
              <c:ext xmlns:c16="http://schemas.microsoft.com/office/drawing/2014/chart" uri="{C3380CC4-5D6E-409C-BE32-E72D297353CC}">
                <c16:uniqueId val="{00000001-56F0-44DD-AAE3-DB35A49A5C15}"/>
              </c:ext>
            </c:extLst>
          </c:dPt>
          <c:dLbls>
            <c:dLbl>
              <c:idx val="0"/>
              <c:tx>
                <c:rich>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fld id="{05BB07FA-9F6D-4CEE-97C5-CA9BDD271803}" type="CELLRANGE">
                      <a:rPr lang="en-US"/>
                      <a:pPr>
                        <a:defRPr>
                          <a:solidFill>
                            <a:srgbClr val="00B0F0"/>
                          </a:solidFill>
                        </a:defRPr>
                      </a:pPr>
                      <a:t>[CELLRANGE]</a:t>
                    </a:fld>
                    <a:endParaRPr lang="lv-LV"/>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6F0-44DD-AAE3-DB35A49A5C1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SD_CS!$G$15</c:f>
              <c:numCache>
                <c:formatCode>0.00</c:formatCode>
                <c:ptCount val="1"/>
                <c:pt idx="0">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56F0-44DD-AAE3-DB35A49A5C15}"/>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SD_CS!$F$9</c:f>
              <c:strCache>
                <c:ptCount val="1"/>
                <c:pt idx="0">
                  <c:v>D|E</c:v>
                </c:pt>
              </c:strCache>
            </c:strRef>
          </c:tx>
          <c:spPr>
            <a:ln w="12700" cap="rnd">
              <a:solidFill>
                <a:schemeClr val="accent5"/>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SD_CS!$G$9:$J$9</c:f>
              <c:numCache>
                <c:formatCode>0.00</c:formatCode>
                <c:ptCount val="4"/>
              </c:numCache>
            </c:numRef>
          </c:val>
          <c:smooth val="0"/>
          <c:extLst>
            <c:ext xmlns:c16="http://schemas.microsoft.com/office/drawing/2014/chart" uri="{C3380CC4-5D6E-409C-BE32-E72D297353CC}">
              <c16:uniqueId val="{00000009-56F0-44DD-AAE3-DB35A49A5C15}"/>
            </c:ext>
          </c:extLst>
        </c:ser>
        <c:ser>
          <c:idx val="1"/>
          <c:order val="1"/>
          <c:tx>
            <c:strRef>
              <c:f>SD_CS!$H$6</c:f>
              <c:strCache>
                <c:ptCount val="1"/>
                <c:pt idx="0">
                  <c:v>Benchmark value</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6F0-44DD-AAE3-DB35A49A5C15}"/>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SD_CS!$G$6</c:f>
              <c:numCache>
                <c:formatCode>0.00</c:formatCode>
                <c:ptCount val="1"/>
                <c:pt idx="0">
                  <c:v>0</c:v>
                </c:pt>
              </c:numCache>
            </c:numRef>
          </c:val>
          <c:smooth val="0"/>
          <c:extLst>
            <c:ext xmlns:c16="http://schemas.microsoft.com/office/drawing/2014/chart" uri="{C3380CC4-5D6E-409C-BE32-E72D297353CC}">
              <c16:uniqueId val="{0000000B-56F0-44DD-AAE3-DB35A49A5C15}"/>
            </c:ext>
          </c:extLst>
        </c:ser>
        <c:ser>
          <c:idx val="2"/>
          <c:order val="2"/>
          <c:tx>
            <c:strRef>
              <c:f>SD_CS!$H$11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SD_CS!$G$11</c:f>
              <c:numCache>
                <c:formatCode>0.00</c:formatCode>
                <c:ptCount val="1"/>
                <c:pt idx="0">
                  <c:v>0</c:v>
                </c:pt>
              </c:numCache>
            </c:numRef>
          </c:val>
          <c:smooth val="0"/>
          <c:extLst>
            <c:ext xmlns:c16="http://schemas.microsoft.com/office/drawing/2014/chart" uri="{C3380CC4-5D6E-409C-BE32-E72D297353CC}">
              <c16:uniqueId val="{0000000C-56F0-44DD-AAE3-DB35A49A5C15}"/>
            </c:ext>
          </c:extLst>
        </c:ser>
        <c:ser>
          <c:idx val="3"/>
          <c:order val="3"/>
          <c:tx>
            <c:strRef>
              <c:f>SD_CS!$H$13</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SD_CS!$G$13</c:f>
              <c:numCache>
                <c:formatCode>0.00</c:formatCode>
                <c:ptCount val="1"/>
                <c:pt idx="0">
                  <c:v>0</c:v>
                </c:pt>
              </c:numCache>
            </c:numRef>
          </c:val>
          <c:smooth val="0"/>
          <c:extLst>
            <c:ext xmlns:c16="http://schemas.microsoft.com/office/drawing/2014/chart" uri="{C3380CC4-5D6E-409C-BE32-E72D297353CC}">
              <c16:uniqueId val="{0000000D-56F0-44DD-AAE3-DB35A49A5C15}"/>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987716034302395"/>
          <c:w val="1"/>
          <c:h val="0.1676121749697755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SD_RT!$F$23</c:f>
              <c:strCache>
                <c:ptCount val="1"/>
                <c:pt idx="0">
                  <c:v>Benchmark period</c:v>
                </c:pt>
              </c:strCache>
            </c:strRef>
          </c:tx>
          <c:spPr>
            <a:solidFill>
              <a:schemeClr val="accent5"/>
            </a:solidFill>
            <a:ln>
              <a:noFill/>
            </a:ln>
            <a:effectLst/>
          </c:spPr>
          <c:invertIfNegative val="0"/>
          <c:dPt>
            <c:idx val="0"/>
            <c:invertIfNegative val="0"/>
            <c:bubble3D val="0"/>
            <c:spPr>
              <a:solidFill>
                <a:schemeClr val="accent2">
                  <a:lumMod val="20000"/>
                  <a:lumOff val="80000"/>
                  <a:alpha val="50000"/>
                </a:schemeClr>
              </a:solidFill>
              <a:ln>
                <a:solidFill>
                  <a:schemeClr val="bg1"/>
                </a:solidFill>
              </a:ln>
              <a:effectLst/>
            </c:spPr>
            <c:extLst>
              <c:ext xmlns:c16="http://schemas.microsoft.com/office/drawing/2014/chart" uri="{C3380CC4-5D6E-409C-BE32-E72D297353CC}">
                <c16:uniqueId val="{00000001-D787-402D-8DA1-16AFA5BC32E0}"/>
              </c:ext>
            </c:extLst>
          </c:dPt>
          <c:dPt>
            <c:idx val="1"/>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3-D787-402D-8DA1-16AFA5BC32E0}"/>
              </c:ext>
            </c:extLst>
          </c:dPt>
          <c:dPt>
            <c:idx val="2"/>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5-D787-402D-8DA1-16AFA5BC32E0}"/>
              </c:ext>
            </c:extLst>
          </c:dPt>
          <c:dPt>
            <c:idx val="3"/>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7-D787-402D-8DA1-16AFA5BC32E0}"/>
              </c:ext>
            </c:extLst>
          </c:dPt>
          <c:dLbls>
            <c:dLbl>
              <c:idx val="0"/>
              <c:tx>
                <c:rich>
                  <a:bodyPr/>
                  <a:lstStyle/>
                  <a:p>
                    <a:fld id="{250E13F4-998C-46B6-9CB9-59FDC4960FF5}"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787-402D-8DA1-16AFA5BC32E0}"/>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87-402D-8DA1-16AFA5BC32E0}"/>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87-402D-8DA1-16AFA5BC32E0}"/>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87-402D-8DA1-16AFA5BC32E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COM_RT!$G$21:$J$21</c:f>
              <c:strCache>
                <c:ptCount val="4"/>
                <c:pt idx="0">
                  <c:v>CY</c:v>
                </c:pt>
                <c:pt idx="1">
                  <c:v>CY-1</c:v>
                </c:pt>
                <c:pt idx="2">
                  <c:v>CY-2</c:v>
                </c:pt>
                <c:pt idx="3">
                  <c:v>CY-3</c:v>
                </c:pt>
              </c:strCache>
            </c:strRef>
          </c:cat>
          <c:val>
            <c:numRef>
              <c:f>SD_RT!$G$23:$J$23</c:f>
              <c:numCache>
                <c:formatCode>0.00%</c:formatCode>
                <c:ptCount val="4"/>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D787-402D-8DA1-16AFA5BC32E0}"/>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SD_RT!$F$22</c:f>
              <c:strCache>
                <c:ptCount val="1"/>
                <c:pt idx="0">
                  <c:v>ROE (commercial)</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SD_RT!$G$22:$J$22</c:f>
              <c:numCache>
                <c:formatCode>0.00%</c:formatCode>
                <c:ptCount val="4"/>
              </c:numCache>
            </c:numRef>
          </c:val>
          <c:smooth val="0"/>
          <c:extLst>
            <c:ext xmlns:c16="http://schemas.microsoft.com/office/drawing/2014/chart" uri="{C3380CC4-5D6E-409C-BE32-E72D297353CC}">
              <c16:uniqueId val="{00000009-D787-402D-8DA1-16AFA5BC32E0}"/>
            </c:ext>
          </c:extLst>
        </c:ser>
        <c:ser>
          <c:idx val="1"/>
          <c:order val="1"/>
          <c:tx>
            <c:strRef>
              <c:f>SD_RT!$H$6</c:f>
              <c:strCache>
                <c:ptCount val="1"/>
                <c:pt idx="0">
                  <c:v>Benchmark value (commercial)</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87-402D-8DA1-16AFA5BC32E0}"/>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SD_RT!$G$6</c:f>
              <c:numCache>
                <c:formatCode>0.00%</c:formatCode>
                <c:ptCount val="1"/>
                <c:pt idx="0">
                  <c:v>0</c:v>
                </c:pt>
              </c:numCache>
            </c:numRef>
          </c:val>
          <c:smooth val="0"/>
          <c:extLst>
            <c:ext xmlns:c16="http://schemas.microsoft.com/office/drawing/2014/chart" uri="{C3380CC4-5D6E-409C-BE32-E72D297353CC}">
              <c16:uniqueId val="{0000000B-D787-402D-8DA1-16AFA5BC32E0}"/>
            </c:ext>
          </c:extLst>
        </c:ser>
        <c:ser>
          <c:idx val="2"/>
          <c:order val="2"/>
          <c:tx>
            <c:strRef>
              <c:f>SD_RT!$H$31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SD_RT!$G$31</c:f>
              <c:numCache>
                <c:formatCode>0.00%</c:formatCode>
                <c:ptCount val="1"/>
                <c:pt idx="0">
                  <c:v>0</c:v>
                </c:pt>
              </c:numCache>
            </c:numRef>
          </c:val>
          <c:smooth val="0"/>
          <c:extLst>
            <c:ext xmlns:c16="http://schemas.microsoft.com/office/drawing/2014/chart" uri="{C3380CC4-5D6E-409C-BE32-E72D297353CC}">
              <c16:uniqueId val="{0000000C-D787-402D-8DA1-16AFA5BC32E0}"/>
            </c:ext>
          </c:extLst>
        </c:ser>
        <c:ser>
          <c:idx val="3"/>
          <c:order val="3"/>
          <c:tx>
            <c:strRef>
              <c:f>SD_RT!$H$32</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787-402D-8DA1-16AFA5BC32E0}"/>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SD_RT!$G$32</c:f>
              <c:numCache>
                <c:formatCode>0.00%</c:formatCode>
                <c:ptCount val="1"/>
                <c:pt idx="0">
                  <c:v>0</c:v>
                </c:pt>
              </c:numCache>
            </c:numRef>
          </c:val>
          <c:smooth val="0"/>
          <c:extLst>
            <c:ext xmlns:c16="http://schemas.microsoft.com/office/drawing/2014/chart" uri="{C3380CC4-5D6E-409C-BE32-E72D297353CC}">
              <c16:uniqueId val="{0000000E-D787-402D-8DA1-16AFA5BC32E0}"/>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SD_RT!$F$25</c:f>
              <c:strCache>
                <c:ptCount val="1"/>
                <c:pt idx="0">
                  <c:v>Benchmark period</c:v>
                </c:pt>
              </c:strCache>
            </c:strRef>
          </c:tx>
          <c:spPr>
            <a:solidFill>
              <a:schemeClr val="accent5"/>
            </a:solidFill>
            <a:ln>
              <a:solidFill>
                <a:schemeClr val="bg1">
                  <a:alpha val="50000"/>
                </a:schemeClr>
              </a:solidFill>
            </a:ln>
            <a:effectLst/>
          </c:spPr>
          <c:invertIfNegative val="0"/>
          <c:dPt>
            <c:idx val="0"/>
            <c:invertIfNegative val="0"/>
            <c:bubble3D val="0"/>
            <c:spPr>
              <a:solidFill>
                <a:schemeClr val="accent2">
                  <a:lumMod val="20000"/>
                  <a:lumOff val="80000"/>
                  <a:alpha val="50000"/>
                </a:schemeClr>
              </a:solidFill>
              <a:ln>
                <a:solidFill>
                  <a:schemeClr val="bg1">
                    <a:alpha val="50000"/>
                  </a:schemeClr>
                </a:solidFill>
              </a:ln>
              <a:effectLst/>
            </c:spPr>
            <c:extLst>
              <c:ext xmlns:c16="http://schemas.microsoft.com/office/drawing/2014/chart" uri="{C3380CC4-5D6E-409C-BE32-E72D297353CC}">
                <c16:uniqueId val="{00000001-4ABE-4101-9083-DBF252E82B25}"/>
              </c:ext>
            </c:extLst>
          </c:dPt>
          <c:dPt>
            <c:idx val="1"/>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3-4ABE-4101-9083-DBF252E82B25}"/>
              </c:ext>
            </c:extLst>
          </c:dPt>
          <c:dPt>
            <c:idx val="2"/>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5-4ABE-4101-9083-DBF252E82B25}"/>
              </c:ext>
            </c:extLst>
          </c:dPt>
          <c:dPt>
            <c:idx val="3"/>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7-4ABE-4101-9083-DBF252E82B25}"/>
              </c:ext>
            </c:extLst>
          </c:dPt>
          <c:dLbls>
            <c:dLbl>
              <c:idx val="0"/>
              <c:tx>
                <c:rich>
                  <a:bodyPr/>
                  <a:lstStyle/>
                  <a:p>
                    <a:fld id="{B6007469-54EB-41A9-80B3-C3E1A1E408D3}"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4ABE-4101-9083-DBF252E82B25}"/>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BE-4101-9083-DBF252E82B25}"/>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BE-4101-9083-DBF252E82B25}"/>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BE-4101-9083-DBF252E82B2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SD_RT!$G$25:$J$25</c:f>
              <c:numCache>
                <c:formatCode>0.00%</c:formatCode>
                <c:ptCount val="4"/>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4ABE-4101-9083-DBF252E82B25}"/>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SD_RT!$F$24</c:f>
              <c:strCache>
                <c:ptCount val="1"/>
                <c:pt idx="0">
                  <c:v>ROE (regulated)</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SD_RT!$G$24:$J$24</c:f>
              <c:numCache>
                <c:formatCode>0.00%</c:formatCode>
                <c:ptCount val="4"/>
              </c:numCache>
            </c:numRef>
          </c:val>
          <c:smooth val="0"/>
          <c:extLst>
            <c:ext xmlns:c16="http://schemas.microsoft.com/office/drawing/2014/chart" uri="{C3380CC4-5D6E-409C-BE32-E72D297353CC}">
              <c16:uniqueId val="{00000009-4ABE-4101-9083-DBF252E82B25}"/>
            </c:ext>
          </c:extLst>
        </c:ser>
        <c:ser>
          <c:idx val="1"/>
          <c:order val="1"/>
          <c:tx>
            <c:strRef>
              <c:f>SD_RT!$H$8</c:f>
              <c:strCache>
                <c:ptCount val="1"/>
                <c:pt idx="0">
                  <c:v>Benchmark value (regulated)</c:v>
                </c:pt>
              </c:strCache>
            </c:strRef>
          </c:tx>
          <c:spPr>
            <a:ln w="28575" cap="rnd">
              <a:no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SD_RT!$G$8</c:f>
              <c:numCache>
                <c:formatCode>0.00%</c:formatCode>
                <c:ptCount val="1"/>
                <c:pt idx="0">
                  <c:v>0</c:v>
                </c:pt>
              </c:numCache>
            </c:numRef>
          </c:val>
          <c:smooth val="0"/>
          <c:extLst>
            <c:ext xmlns:c16="http://schemas.microsoft.com/office/drawing/2014/chart" uri="{C3380CC4-5D6E-409C-BE32-E72D297353CC}">
              <c16:uniqueId val="{0000000A-4ABE-4101-9083-DBF252E82B25}"/>
            </c:ext>
          </c:extLst>
        </c:ser>
        <c:ser>
          <c:idx val="2"/>
          <c:order val="2"/>
          <c:tx>
            <c:strRef>
              <c:f>SD_RT!$H$34</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SD_RT!$G$34</c:f>
              <c:numCache>
                <c:formatCode>0.00%</c:formatCode>
                <c:ptCount val="1"/>
                <c:pt idx="0">
                  <c:v>0</c:v>
                </c:pt>
              </c:numCache>
            </c:numRef>
          </c:val>
          <c:smooth val="0"/>
          <c:extLst>
            <c:ext xmlns:c16="http://schemas.microsoft.com/office/drawing/2014/chart" uri="{C3380CC4-5D6E-409C-BE32-E72D297353CC}">
              <c16:uniqueId val="{0000000B-4ABE-4101-9083-DBF252E82B25}"/>
            </c:ext>
          </c:extLst>
        </c:ser>
        <c:ser>
          <c:idx val="3"/>
          <c:order val="3"/>
          <c:tx>
            <c:strRef>
              <c:f>SD_RT!$H$35</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SD_RT!$G$35</c:f>
              <c:numCache>
                <c:formatCode>0.00%</c:formatCode>
                <c:ptCount val="1"/>
                <c:pt idx="0">
                  <c:v>0</c:v>
                </c:pt>
              </c:numCache>
            </c:numRef>
          </c:val>
          <c:smooth val="0"/>
          <c:extLst>
            <c:ext xmlns:c16="http://schemas.microsoft.com/office/drawing/2014/chart" uri="{C3380CC4-5D6E-409C-BE32-E72D297353CC}">
              <c16:uniqueId val="{0000000C-4ABE-4101-9083-DBF252E82B25}"/>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3028322440087E-2"/>
          <c:y val="2.4253472222222221E-2"/>
          <c:w val="0.9041394335511983"/>
          <c:h val="0.76753923611111108"/>
        </c:manualLayout>
      </c:layout>
      <c:barChart>
        <c:barDir val="col"/>
        <c:grouping val="stacked"/>
        <c:varyColors val="0"/>
        <c:ser>
          <c:idx val="0"/>
          <c:order val="0"/>
          <c:tx>
            <c:strRef>
              <c:f>SD_RT!$F$13</c:f>
              <c:strCache>
                <c:ptCount val="1"/>
                <c:pt idx="0">
                  <c:v>Net turnover (commercial)</c:v>
                </c:pt>
              </c:strCache>
            </c:strRef>
          </c:tx>
          <c:spPr>
            <a:solidFill>
              <a:schemeClr val="accent4"/>
            </a:solidFill>
            <a:ln>
              <a:noFill/>
            </a:ln>
            <a:effectLst/>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58-4F50-A9BA-7D89DD768148}"/>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58-4F50-A9BA-7D89DD768148}"/>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58-4F50-A9BA-7D89DD768148}"/>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58-4F50-A9BA-7D89DD76814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SD_RT!$G$12:$J$12</c:f>
              <c:strCache>
                <c:ptCount val="4"/>
                <c:pt idx="0">
                  <c:v>CY</c:v>
                </c:pt>
                <c:pt idx="1">
                  <c:v>CY-1</c:v>
                </c:pt>
                <c:pt idx="2">
                  <c:v>CY-2</c:v>
                </c:pt>
                <c:pt idx="3">
                  <c:v>CY-3</c:v>
                </c:pt>
              </c:strCache>
            </c:strRef>
          </c:cat>
          <c:val>
            <c:numRef>
              <c:f>SD_RT!$G$13:$J$13</c:f>
              <c:numCache>
                <c:formatCode>_-* #\ ##0_-;\-* #\ ##0_-;_-* "-"??_-;_-@_-</c:formatCode>
                <c:ptCount val="4"/>
              </c:numCache>
            </c:numRef>
          </c:val>
          <c:extLst>
            <c:ext xmlns:c16="http://schemas.microsoft.com/office/drawing/2014/chart" uri="{C3380CC4-5D6E-409C-BE32-E72D297353CC}">
              <c16:uniqueId val="{00000004-A658-4F50-A9BA-7D89DD768148}"/>
            </c:ext>
          </c:extLst>
        </c:ser>
        <c:ser>
          <c:idx val="1"/>
          <c:order val="1"/>
          <c:tx>
            <c:strRef>
              <c:f>SD_RT!$F$15</c:f>
              <c:strCache>
                <c:ptCount val="1"/>
                <c:pt idx="0">
                  <c:v>Net turnover (regulated)</c:v>
                </c:pt>
              </c:strCache>
            </c:strRef>
          </c:tx>
          <c:spPr>
            <a:solidFill>
              <a:schemeClr val="tx1">
                <a:lumMod val="75000"/>
                <a:lumOff val="25000"/>
              </a:schemeClr>
            </a:solidFill>
            <a:ln>
              <a:noFill/>
            </a:ln>
            <a:effectLst/>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58-4F50-A9BA-7D89DD768148}"/>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58-4F50-A9BA-7D89DD768148}"/>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58-4F50-A9BA-7D89DD768148}"/>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58-4F50-A9BA-7D89DD76814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SD_RT!$G$12:$J$12</c:f>
              <c:strCache>
                <c:ptCount val="4"/>
                <c:pt idx="0">
                  <c:v>CY</c:v>
                </c:pt>
                <c:pt idx="1">
                  <c:v>CY-1</c:v>
                </c:pt>
                <c:pt idx="2">
                  <c:v>CY-2</c:v>
                </c:pt>
                <c:pt idx="3">
                  <c:v>CY-3</c:v>
                </c:pt>
              </c:strCache>
            </c:strRef>
          </c:cat>
          <c:val>
            <c:numRef>
              <c:f>SD_RT!$G$15:$J$15</c:f>
              <c:numCache>
                <c:formatCode>_-* #\ ##0_-;\-* #\ ##0_-;_-* "-"??_-;_-@_-</c:formatCode>
                <c:ptCount val="4"/>
              </c:numCache>
            </c:numRef>
          </c:val>
          <c:extLst>
            <c:ext xmlns:c16="http://schemas.microsoft.com/office/drawing/2014/chart" uri="{C3380CC4-5D6E-409C-BE32-E72D297353CC}">
              <c16:uniqueId val="{00000009-A658-4F50-A9BA-7D89DD768148}"/>
            </c:ext>
          </c:extLst>
        </c:ser>
        <c:ser>
          <c:idx val="2"/>
          <c:order val="2"/>
          <c:tx>
            <c:strRef>
              <c:f>SD_RT!$F$17</c:f>
              <c:strCache>
                <c:ptCount val="1"/>
                <c:pt idx="0">
                  <c:v>Net turnover (state financed)</c:v>
                </c:pt>
              </c:strCache>
            </c:strRef>
          </c:tx>
          <c:spPr>
            <a:solidFill>
              <a:schemeClr val="accent1"/>
            </a:solidFill>
            <a:ln>
              <a:noFill/>
            </a:ln>
            <a:effectLst/>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58-4F50-A9BA-7D89DD768148}"/>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58-4F50-A9BA-7D89DD768148}"/>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58-4F50-A9BA-7D89DD768148}"/>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58-4F50-A9BA-7D89DD76814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SD_RT!$G$12:$J$12</c:f>
              <c:strCache>
                <c:ptCount val="4"/>
                <c:pt idx="0">
                  <c:v>CY</c:v>
                </c:pt>
                <c:pt idx="1">
                  <c:v>CY-1</c:v>
                </c:pt>
                <c:pt idx="2">
                  <c:v>CY-2</c:v>
                </c:pt>
                <c:pt idx="3">
                  <c:v>CY-3</c:v>
                </c:pt>
              </c:strCache>
            </c:strRef>
          </c:cat>
          <c:val>
            <c:numRef>
              <c:f>SD_RT!$G$17:$J$17</c:f>
              <c:numCache>
                <c:formatCode>_-* #\ ##0_-;\-* #\ ##0_-;_-* "-"??_-;_-@_-</c:formatCode>
                <c:ptCount val="4"/>
              </c:numCache>
            </c:numRef>
          </c:val>
          <c:extLst>
            <c:ext xmlns:c16="http://schemas.microsoft.com/office/drawing/2014/chart" uri="{C3380CC4-5D6E-409C-BE32-E72D297353CC}">
              <c16:uniqueId val="{0000000E-A658-4F50-A9BA-7D89DD768148}"/>
            </c:ext>
          </c:extLst>
        </c:ser>
        <c:dLbls>
          <c:showLegendKey val="0"/>
          <c:showVal val="0"/>
          <c:showCatName val="0"/>
          <c:showSerName val="0"/>
          <c:showPercent val="0"/>
          <c:showBubbleSize val="0"/>
        </c:dLbls>
        <c:gapWidth val="10"/>
        <c:overlap val="100"/>
        <c:axId val="1173440192"/>
        <c:axId val="807835088"/>
      </c:barChart>
      <c:catAx>
        <c:axId val="117344019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807835088"/>
        <c:crosses val="autoZero"/>
        <c:auto val="1"/>
        <c:lblAlgn val="ctr"/>
        <c:lblOffset val="100"/>
        <c:noMultiLvlLbl val="0"/>
      </c:catAx>
      <c:valAx>
        <c:axId val="807835088"/>
        <c:scaling>
          <c:orientation val="minMax"/>
          <c:min val="0"/>
        </c:scaling>
        <c:delete val="1"/>
        <c:axPos val="r"/>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crossAx val="1173440192"/>
        <c:crosses val="autoZero"/>
        <c:crossBetween val="between"/>
      </c:valAx>
      <c:spPr>
        <a:noFill/>
        <a:ln>
          <a:noFill/>
        </a:ln>
        <a:effectLst/>
      </c:spPr>
    </c:plotArea>
    <c:legend>
      <c:legendPos val="b"/>
      <c:layout>
        <c:manualLayout>
          <c:xMode val="edge"/>
          <c:yMode val="edge"/>
          <c:x val="2.8331328900890254E-3"/>
          <c:y val="0.86398871527777776"/>
          <c:w val="0.74008645978076271"/>
          <c:h val="0.1360112847222222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SD_RT!$F$27</c:f>
              <c:strCache>
                <c:ptCount val="1"/>
                <c:pt idx="0">
                  <c:v>Benchmark period</c:v>
                </c:pt>
              </c:strCache>
            </c:strRef>
          </c:tx>
          <c:spPr>
            <a:solidFill>
              <a:schemeClr val="accent5"/>
            </a:solidFill>
            <a:ln>
              <a:solidFill>
                <a:schemeClr val="bg1"/>
              </a:solidFill>
            </a:ln>
            <a:effectLst/>
          </c:spPr>
          <c:invertIfNegative val="0"/>
          <c:dPt>
            <c:idx val="0"/>
            <c:invertIfNegative val="0"/>
            <c:bubble3D val="0"/>
            <c:spPr>
              <a:solidFill>
                <a:schemeClr val="accent2">
                  <a:lumMod val="20000"/>
                  <a:lumOff val="80000"/>
                  <a:alpha val="50000"/>
                </a:schemeClr>
              </a:solidFill>
              <a:ln>
                <a:solidFill>
                  <a:schemeClr val="bg1">
                    <a:alpha val="50000"/>
                  </a:schemeClr>
                </a:solidFill>
              </a:ln>
              <a:effectLst/>
            </c:spPr>
            <c:extLst>
              <c:ext xmlns:c16="http://schemas.microsoft.com/office/drawing/2014/chart" uri="{C3380CC4-5D6E-409C-BE32-E72D297353CC}">
                <c16:uniqueId val="{00000001-B608-42EF-A417-24001124A923}"/>
              </c:ext>
            </c:extLst>
          </c:dPt>
          <c:dPt>
            <c:idx val="1"/>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3-B608-42EF-A417-24001124A923}"/>
              </c:ext>
            </c:extLst>
          </c:dPt>
          <c:dPt>
            <c:idx val="2"/>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5-B608-42EF-A417-24001124A923}"/>
              </c:ext>
            </c:extLst>
          </c:dPt>
          <c:dPt>
            <c:idx val="3"/>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7-B608-42EF-A417-24001124A923}"/>
              </c:ext>
            </c:extLst>
          </c:dPt>
          <c:dLbls>
            <c:dLbl>
              <c:idx val="0"/>
              <c:tx>
                <c:rich>
                  <a:bodyPr/>
                  <a:lstStyle/>
                  <a:p>
                    <a:fld id="{ED54442A-FF84-4105-8849-DA8B57833467}"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608-42EF-A417-24001124A923}"/>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08-42EF-A417-24001124A923}"/>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08-42EF-A417-24001124A923}"/>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08-42EF-A417-24001124A92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SD_RT!$G$27:$J$27</c:f>
              <c:numCache>
                <c:formatCode>_(* #,##0.00_);_(* \(#,##0.00\);_(* "-"??_);_(@_)</c:formatCode>
                <c:ptCount val="4"/>
                <c:pt idx="0">
                  <c:v>0</c:v>
                </c:pt>
                <c:pt idx="1">
                  <c:v>0</c:v>
                </c:pt>
                <c:pt idx="2">
                  <c:v>0</c:v>
                </c:pt>
                <c:pt idx="3">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B608-42EF-A417-24001124A923}"/>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SD_RT!$F$26</c:f>
              <c:strCache>
                <c:ptCount val="1"/>
                <c:pt idx="0">
                  <c:v>ROE (state financed)</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SD_RT!$G$26:$J$26</c:f>
              <c:numCache>
                <c:formatCode>0.00%</c:formatCode>
                <c:ptCount val="4"/>
              </c:numCache>
            </c:numRef>
          </c:val>
          <c:smooth val="0"/>
          <c:extLst>
            <c:ext xmlns:c16="http://schemas.microsoft.com/office/drawing/2014/chart" uri="{C3380CC4-5D6E-409C-BE32-E72D297353CC}">
              <c16:uniqueId val="{00000009-B608-42EF-A417-24001124A923}"/>
            </c:ext>
          </c:extLst>
        </c:ser>
        <c:ser>
          <c:idx val="1"/>
          <c:order val="1"/>
          <c:tx>
            <c:strRef>
              <c:f>SD_RT!$H$10</c:f>
              <c:strCache>
                <c:ptCount val="1"/>
                <c:pt idx="0">
                  <c:v>Benchmark value (state financed)</c:v>
                </c:pt>
              </c:strCache>
            </c:strRef>
          </c:tx>
          <c:spPr>
            <a:ln w="28575" cap="rnd">
              <a:solidFill>
                <a:schemeClr val="accent2"/>
              </a:solid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SD_RT!$G$10</c:f>
              <c:numCache>
                <c:formatCode>0.00%</c:formatCode>
                <c:ptCount val="1"/>
                <c:pt idx="0">
                  <c:v>0</c:v>
                </c:pt>
              </c:numCache>
            </c:numRef>
          </c:val>
          <c:smooth val="0"/>
          <c:extLst>
            <c:ext xmlns:c16="http://schemas.microsoft.com/office/drawing/2014/chart" uri="{C3380CC4-5D6E-409C-BE32-E72D297353CC}">
              <c16:uniqueId val="{0000000A-B608-42EF-A417-24001124A923}"/>
            </c:ext>
          </c:extLst>
        </c:ser>
        <c:ser>
          <c:idx val="2"/>
          <c:order val="2"/>
          <c:tx>
            <c:strRef>
              <c:f>SD_RT!$H$37</c:f>
              <c:strCache>
                <c:ptCount val="1"/>
                <c:pt idx="0">
                  <c:v>Acceptable deviation lower bracket according to CSCC guidelines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SD_RT!$G$37</c:f>
              <c:numCache>
                <c:formatCode>0.00%</c:formatCode>
                <c:ptCount val="1"/>
                <c:pt idx="0">
                  <c:v>0</c:v>
                </c:pt>
              </c:numCache>
            </c:numRef>
          </c:val>
          <c:smooth val="0"/>
          <c:extLst>
            <c:ext xmlns:c16="http://schemas.microsoft.com/office/drawing/2014/chart" uri="{C3380CC4-5D6E-409C-BE32-E72D297353CC}">
              <c16:uniqueId val="{0000000B-B608-42EF-A417-24001124A923}"/>
            </c:ext>
          </c:extLst>
        </c:ser>
        <c:ser>
          <c:idx val="3"/>
          <c:order val="3"/>
          <c:tx>
            <c:strRef>
              <c:f>SD_RT!$H$38</c:f>
              <c:strCache>
                <c:ptCount val="1"/>
                <c:pt idx="0">
                  <c:v>Acceptable deviation upper bracket according to CSCC guidelines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SD_RT!$G$38</c:f>
              <c:numCache>
                <c:formatCode>0.00%</c:formatCode>
                <c:ptCount val="1"/>
                <c:pt idx="0">
                  <c:v>0</c:v>
                </c:pt>
              </c:numCache>
            </c:numRef>
          </c:val>
          <c:smooth val="0"/>
          <c:extLst>
            <c:ext xmlns:c16="http://schemas.microsoft.com/office/drawing/2014/chart" uri="{C3380CC4-5D6E-409C-BE32-E72D297353CC}">
              <c16:uniqueId val="{0000000C-B608-42EF-A417-24001124A923}"/>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1291380559889E-2"/>
          <c:y val="3.5465268512080379E-2"/>
          <c:w val="0.85205298247122552"/>
          <c:h val="0.7399074770258981"/>
        </c:manualLayout>
      </c:layout>
      <c:barChart>
        <c:barDir val="col"/>
        <c:grouping val="clustered"/>
        <c:varyColors val="0"/>
        <c:ser>
          <c:idx val="4"/>
          <c:order val="4"/>
          <c:tx>
            <c:strRef>
              <c:f>SD_DP!$F$15</c:f>
              <c:strCache>
                <c:ptCount val="1"/>
                <c:pt idx="0">
                  <c:v>Benchmark period</c:v>
                </c:pt>
              </c:strCache>
            </c:strRef>
          </c:tx>
          <c:spPr>
            <a:solidFill>
              <a:schemeClr val="accent5">
                <a:lumMod val="20000"/>
                <a:lumOff val="80000"/>
                <a:alpha val="52000"/>
              </a:schemeClr>
            </a:solidFill>
            <a:ln w="12700">
              <a:solidFill>
                <a:schemeClr val="bg1"/>
              </a:solidFill>
            </a:ln>
            <a:effectLst/>
          </c:spPr>
          <c:invertIfNegative val="0"/>
          <c:dPt>
            <c:idx val="0"/>
            <c:invertIfNegative val="0"/>
            <c:bubble3D val="0"/>
            <c:spPr>
              <a:solidFill>
                <a:schemeClr val="accent2">
                  <a:lumMod val="20000"/>
                  <a:lumOff val="80000"/>
                  <a:alpha val="50000"/>
                </a:schemeClr>
              </a:solidFill>
              <a:ln w="12700">
                <a:solidFill>
                  <a:schemeClr val="bg1"/>
                </a:solidFill>
              </a:ln>
              <a:effectLst/>
            </c:spPr>
            <c:extLst>
              <c:ext xmlns:c16="http://schemas.microsoft.com/office/drawing/2014/chart" uri="{C3380CC4-5D6E-409C-BE32-E72D297353CC}">
                <c16:uniqueId val="{00000001-88E5-4545-8D00-8C4A24EDDB93}"/>
              </c:ext>
            </c:extLst>
          </c:dPt>
          <c:dLbls>
            <c:dLbl>
              <c:idx val="0"/>
              <c:tx>
                <c:rich>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fld id="{1DB28355-6D62-43E7-8ED2-3F51E7BFB6F9}" type="CELLRANGE">
                      <a:rPr lang="en-US"/>
                      <a:pPr>
                        <a:defRPr>
                          <a:solidFill>
                            <a:srgbClr val="00B0F0"/>
                          </a:solidFill>
                        </a:defRPr>
                      </a:pPr>
                      <a:t>[CELLRANGE]</a:t>
                    </a:fld>
                    <a:endParaRPr lang="lv-LV"/>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88E5-4545-8D00-8C4A24EDDB9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SD_DP!$G$8:$J$8</c:f>
              <c:strCache>
                <c:ptCount val="4"/>
                <c:pt idx="0">
                  <c:v>CY</c:v>
                </c:pt>
                <c:pt idx="1">
                  <c:v>CY-1</c:v>
                </c:pt>
                <c:pt idx="2">
                  <c:v>CY-2</c:v>
                </c:pt>
                <c:pt idx="3">
                  <c:v>CY-3</c:v>
                </c:pt>
              </c:strCache>
            </c:strRef>
          </c:cat>
          <c:val>
            <c:numRef>
              <c:f>SD_DP!$G$15</c:f>
              <c:numCache>
                <c:formatCode>0.0%</c:formatCode>
                <c:ptCount val="1"/>
                <c:pt idx="0">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2-88E5-4545-8D00-8C4A24EDDB93}"/>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SD_DP!$F$9</c:f>
              <c:strCache>
                <c:ptCount val="1"/>
                <c:pt idx="0">
                  <c:v>Dividend payout ratio</c:v>
                </c:pt>
              </c:strCache>
            </c:strRef>
          </c:tx>
          <c:spPr>
            <a:ln w="12700" cap="rnd">
              <a:solidFill>
                <a:schemeClr val="accent5"/>
              </a:solidFill>
              <a:prstDash val="sysDash"/>
              <a:round/>
            </a:ln>
            <a:effectLst/>
          </c:spPr>
          <c:marker>
            <c:symbol val="x"/>
            <c:size val="5"/>
            <c:spPr>
              <a:noFill/>
              <a:ln w="9525">
                <a:solidFill>
                  <a:schemeClr val="accent1"/>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SD_DP!$G$9:$J$9</c:f>
              <c:numCache>
                <c:formatCode>0.0%</c:formatCode>
                <c:ptCount val="4"/>
              </c:numCache>
            </c:numRef>
          </c:val>
          <c:smooth val="0"/>
          <c:extLst>
            <c:ext xmlns:c16="http://schemas.microsoft.com/office/drawing/2014/chart" uri="{C3380CC4-5D6E-409C-BE32-E72D297353CC}">
              <c16:uniqueId val="{00000003-88E5-4545-8D00-8C4A24EDDB93}"/>
            </c:ext>
          </c:extLst>
        </c:ser>
        <c:ser>
          <c:idx val="1"/>
          <c:order val="1"/>
          <c:tx>
            <c:strRef>
              <c:f>SD_DP!$H$6</c:f>
              <c:strCache>
                <c:ptCount val="1"/>
                <c:pt idx="0">
                  <c:v>Benchmark value</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E5-4545-8D00-8C4A24EDDB93}"/>
                </c:ext>
              </c:extLst>
            </c:dLbl>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SD_DP!$G$6</c:f>
              <c:numCache>
                <c:formatCode>0.0%</c:formatCode>
                <c:ptCount val="1"/>
                <c:pt idx="0">
                  <c:v>0</c:v>
                </c:pt>
              </c:numCache>
            </c:numRef>
          </c:val>
          <c:smooth val="0"/>
          <c:extLst>
            <c:ext xmlns:c16="http://schemas.microsoft.com/office/drawing/2014/chart" uri="{C3380CC4-5D6E-409C-BE32-E72D297353CC}">
              <c16:uniqueId val="{00000005-88E5-4545-8D00-8C4A24EDDB93}"/>
            </c:ext>
          </c:extLst>
        </c:ser>
        <c:ser>
          <c:idx val="2"/>
          <c:order val="2"/>
          <c:tx>
            <c:strRef>
              <c:f>SD_DP!$H$11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SD_DP!$G$11</c:f>
              <c:numCache>
                <c:formatCode>0.0%</c:formatCode>
                <c:ptCount val="1"/>
                <c:pt idx="0">
                  <c:v>0</c:v>
                </c:pt>
              </c:numCache>
            </c:numRef>
          </c:val>
          <c:smooth val="0"/>
          <c:extLst>
            <c:ext xmlns:c16="http://schemas.microsoft.com/office/drawing/2014/chart" uri="{C3380CC4-5D6E-409C-BE32-E72D297353CC}">
              <c16:uniqueId val="{00000006-88E5-4545-8D00-8C4A24EDDB93}"/>
            </c:ext>
          </c:extLst>
        </c:ser>
        <c:ser>
          <c:idx val="3"/>
          <c:order val="3"/>
          <c:tx>
            <c:strRef>
              <c:f>SD_DP!$H$13</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SD_DP!$G$13</c:f>
              <c:numCache>
                <c:formatCode>0.0%</c:formatCode>
                <c:ptCount val="1"/>
                <c:pt idx="0">
                  <c:v>0</c:v>
                </c:pt>
              </c:numCache>
            </c:numRef>
          </c:val>
          <c:smooth val="0"/>
          <c:extLst>
            <c:ext xmlns:c16="http://schemas.microsoft.com/office/drawing/2014/chart" uri="{C3380CC4-5D6E-409C-BE32-E72D297353CC}">
              <c16:uniqueId val="{00000007-88E5-4545-8D00-8C4A24EDDB93}"/>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r"/>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987716034302395"/>
          <c:w val="1"/>
          <c:h val="0.1676121749697755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1291380559889E-2"/>
          <c:y val="3.5465268512080379E-2"/>
          <c:w val="0.85205298247122552"/>
          <c:h val="0.7399074770258981"/>
        </c:manualLayout>
      </c:layout>
      <c:barChart>
        <c:barDir val="col"/>
        <c:grouping val="clustered"/>
        <c:varyColors val="0"/>
        <c:ser>
          <c:idx val="4"/>
          <c:order val="4"/>
          <c:tx>
            <c:strRef>
              <c:f>SD_CS!$F$15</c:f>
              <c:strCache>
                <c:ptCount val="1"/>
                <c:pt idx="0">
                  <c:v>Benchmark period</c:v>
                </c:pt>
              </c:strCache>
            </c:strRef>
          </c:tx>
          <c:spPr>
            <a:solidFill>
              <a:schemeClr val="accent2">
                <a:lumMod val="20000"/>
                <a:lumOff val="80000"/>
                <a:alpha val="52000"/>
              </a:schemeClr>
            </a:solidFill>
            <a:ln w="12700">
              <a:solidFill>
                <a:schemeClr val="bg1"/>
              </a:solidFill>
            </a:ln>
            <a:effectLst/>
          </c:spPr>
          <c:invertIfNegative val="0"/>
          <c:dPt>
            <c:idx val="0"/>
            <c:invertIfNegative val="0"/>
            <c:bubble3D val="0"/>
            <c:spPr>
              <a:solidFill>
                <a:schemeClr val="accent2">
                  <a:lumMod val="20000"/>
                  <a:lumOff val="80000"/>
                  <a:alpha val="52000"/>
                </a:schemeClr>
              </a:solidFill>
              <a:ln w="12700">
                <a:solidFill>
                  <a:schemeClr val="bg1"/>
                </a:solidFill>
              </a:ln>
              <a:effectLst/>
            </c:spPr>
            <c:extLst>
              <c:ext xmlns:c16="http://schemas.microsoft.com/office/drawing/2014/chart" uri="{C3380CC4-5D6E-409C-BE32-E72D297353CC}">
                <c16:uniqueId val="{00000001-7389-477F-9C96-54B8A86AE662}"/>
              </c:ext>
            </c:extLst>
          </c:dPt>
          <c:dLbls>
            <c:dLbl>
              <c:idx val="0"/>
              <c:tx>
                <c:rich>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fld id="{9979A2A5-7B65-455A-95FF-D3E013BF40EB}" type="CELLRANGE">
                      <a:rPr lang="en-US"/>
                      <a:pPr>
                        <a:defRPr>
                          <a:solidFill>
                            <a:srgbClr val="00B0F0"/>
                          </a:solidFill>
                        </a:defRPr>
                      </a:pPr>
                      <a:t>[CELLRANGE]</a:t>
                    </a:fld>
                    <a:endParaRPr lang="lv-LV"/>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389-477F-9C96-54B8A86AE66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SD_CS!$G$15</c:f>
              <c:numCache>
                <c:formatCode>0.00</c:formatCode>
                <c:ptCount val="1"/>
                <c:pt idx="0">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2-7389-477F-9C96-54B8A86AE662}"/>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SD_CS!$F$9</c:f>
              <c:strCache>
                <c:ptCount val="1"/>
                <c:pt idx="0">
                  <c:v>D|E</c:v>
                </c:pt>
              </c:strCache>
            </c:strRef>
          </c:tx>
          <c:spPr>
            <a:ln w="12700" cap="rnd">
              <a:solidFill>
                <a:schemeClr val="accent5"/>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SD_CS!$G$9:$J$9</c:f>
              <c:numCache>
                <c:formatCode>0.00</c:formatCode>
                <c:ptCount val="4"/>
              </c:numCache>
            </c:numRef>
          </c:val>
          <c:smooth val="0"/>
          <c:extLst>
            <c:ext xmlns:c16="http://schemas.microsoft.com/office/drawing/2014/chart" uri="{C3380CC4-5D6E-409C-BE32-E72D297353CC}">
              <c16:uniqueId val="{00000003-7389-477F-9C96-54B8A86AE662}"/>
            </c:ext>
          </c:extLst>
        </c:ser>
        <c:ser>
          <c:idx val="1"/>
          <c:order val="1"/>
          <c:tx>
            <c:strRef>
              <c:f>SD_CS!$H$6</c:f>
              <c:strCache>
                <c:ptCount val="1"/>
                <c:pt idx="0">
                  <c:v>Benchmark value</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89-477F-9C96-54B8A86AE662}"/>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SD_CS!$G$6</c:f>
              <c:numCache>
                <c:formatCode>0.00</c:formatCode>
                <c:ptCount val="1"/>
                <c:pt idx="0">
                  <c:v>0</c:v>
                </c:pt>
              </c:numCache>
            </c:numRef>
          </c:val>
          <c:smooth val="0"/>
          <c:extLst>
            <c:ext xmlns:c16="http://schemas.microsoft.com/office/drawing/2014/chart" uri="{C3380CC4-5D6E-409C-BE32-E72D297353CC}">
              <c16:uniqueId val="{00000005-7389-477F-9C96-54B8A86AE662}"/>
            </c:ext>
          </c:extLst>
        </c:ser>
        <c:ser>
          <c:idx val="2"/>
          <c:order val="2"/>
          <c:tx>
            <c:strRef>
              <c:f>SD_CS!$H$11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SD_CS!$G$11</c:f>
              <c:numCache>
                <c:formatCode>0.00</c:formatCode>
                <c:ptCount val="1"/>
                <c:pt idx="0">
                  <c:v>0</c:v>
                </c:pt>
              </c:numCache>
            </c:numRef>
          </c:val>
          <c:smooth val="0"/>
          <c:extLst>
            <c:ext xmlns:c16="http://schemas.microsoft.com/office/drawing/2014/chart" uri="{C3380CC4-5D6E-409C-BE32-E72D297353CC}">
              <c16:uniqueId val="{00000006-7389-477F-9C96-54B8A86AE662}"/>
            </c:ext>
          </c:extLst>
        </c:ser>
        <c:ser>
          <c:idx val="3"/>
          <c:order val="3"/>
          <c:tx>
            <c:strRef>
              <c:f>SD_CS!$H$13</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SD_CS!$G$13</c:f>
              <c:numCache>
                <c:formatCode>0.00</c:formatCode>
                <c:ptCount val="1"/>
                <c:pt idx="0">
                  <c:v>0</c:v>
                </c:pt>
              </c:numCache>
            </c:numRef>
          </c:val>
          <c:smooth val="0"/>
          <c:extLst>
            <c:ext xmlns:c16="http://schemas.microsoft.com/office/drawing/2014/chart" uri="{C3380CC4-5D6E-409C-BE32-E72D297353CC}">
              <c16:uniqueId val="{00000007-7389-477F-9C96-54B8A86AE662}"/>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987716034302395"/>
          <c:w val="1"/>
          <c:h val="0.1676121749697755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1291380559889E-2"/>
          <c:y val="3.5465268512080379E-2"/>
          <c:w val="0.85205298247122552"/>
          <c:h val="0.7399074770258981"/>
        </c:manualLayout>
      </c:layout>
      <c:barChart>
        <c:barDir val="col"/>
        <c:grouping val="clustered"/>
        <c:varyColors val="0"/>
        <c:ser>
          <c:idx val="4"/>
          <c:order val="4"/>
          <c:tx>
            <c:strRef>
              <c:f>SD_DP!$F$15</c:f>
              <c:strCache>
                <c:ptCount val="1"/>
                <c:pt idx="0">
                  <c:v>Benchmark period</c:v>
                </c:pt>
              </c:strCache>
            </c:strRef>
          </c:tx>
          <c:spPr>
            <a:solidFill>
              <a:schemeClr val="accent5">
                <a:lumMod val="20000"/>
                <a:lumOff val="80000"/>
                <a:alpha val="52000"/>
              </a:schemeClr>
            </a:solidFill>
            <a:ln w="12700">
              <a:solidFill>
                <a:schemeClr val="bg1"/>
              </a:solidFill>
            </a:ln>
            <a:effectLst/>
          </c:spPr>
          <c:invertIfNegative val="0"/>
          <c:dPt>
            <c:idx val="0"/>
            <c:invertIfNegative val="0"/>
            <c:bubble3D val="0"/>
            <c:spPr>
              <a:solidFill>
                <a:schemeClr val="accent2">
                  <a:lumMod val="20000"/>
                  <a:lumOff val="80000"/>
                  <a:alpha val="50000"/>
                </a:schemeClr>
              </a:solidFill>
              <a:ln w="12700">
                <a:solidFill>
                  <a:schemeClr val="bg1"/>
                </a:solidFill>
              </a:ln>
              <a:effectLst/>
            </c:spPr>
            <c:extLst>
              <c:ext xmlns:c16="http://schemas.microsoft.com/office/drawing/2014/chart" uri="{C3380CC4-5D6E-409C-BE32-E72D297353CC}">
                <c16:uniqueId val="{00000001-57B7-40CD-B2B6-5F92C1A4205E}"/>
              </c:ext>
            </c:extLst>
          </c:dPt>
          <c:dLbls>
            <c:dLbl>
              <c:idx val="0"/>
              <c:tx>
                <c:rich>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fld id="{F660CC29-298D-4643-92B7-6C83BEFF68D6}" type="CELLRANGE">
                      <a:rPr lang="en-US"/>
                      <a:pPr>
                        <a:defRPr>
                          <a:solidFill>
                            <a:srgbClr val="00B0F0"/>
                          </a:solidFill>
                        </a:defRPr>
                      </a:pPr>
                      <a:t>[CELLRANGE]</a:t>
                    </a:fld>
                    <a:endParaRPr lang="lv-LV"/>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7B7-40CD-B2B6-5F92C1A4205E}"/>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SD_DP!$G$8:$J$8</c:f>
              <c:strCache>
                <c:ptCount val="4"/>
                <c:pt idx="0">
                  <c:v>CY</c:v>
                </c:pt>
                <c:pt idx="1">
                  <c:v>CY-1</c:v>
                </c:pt>
                <c:pt idx="2">
                  <c:v>CY-2</c:v>
                </c:pt>
                <c:pt idx="3">
                  <c:v>CY-3</c:v>
                </c:pt>
              </c:strCache>
            </c:strRef>
          </c:cat>
          <c:val>
            <c:numRef>
              <c:f>SD_DP!$G$15</c:f>
              <c:numCache>
                <c:formatCode>0.0%</c:formatCode>
                <c:ptCount val="1"/>
                <c:pt idx="0">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2-57B7-40CD-B2B6-5F92C1A4205E}"/>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SD_DP!$F$9</c:f>
              <c:strCache>
                <c:ptCount val="1"/>
                <c:pt idx="0">
                  <c:v>Dividend payout ratio</c:v>
                </c:pt>
              </c:strCache>
            </c:strRef>
          </c:tx>
          <c:spPr>
            <a:ln w="12700" cap="rnd">
              <a:solidFill>
                <a:schemeClr val="accent5"/>
              </a:solidFill>
              <a:prstDash val="sysDash"/>
              <a:round/>
            </a:ln>
            <a:effectLst/>
          </c:spPr>
          <c:marker>
            <c:symbol val="x"/>
            <c:size val="5"/>
            <c:spPr>
              <a:noFill/>
              <a:ln w="9525">
                <a:solidFill>
                  <a:schemeClr val="accent1"/>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1">
                        <a:lumMod val="7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SD_DP!$G$9:$J$9</c:f>
              <c:numCache>
                <c:formatCode>0.0%</c:formatCode>
                <c:ptCount val="4"/>
              </c:numCache>
            </c:numRef>
          </c:val>
          <c:smooth val="0"/>
          <c:extLst>
            <c:ext xmlns:c16="http://schemas.microsoft.com/office/drawing/2014/chart" uri="{C3380CC4-5D6E-409C-BE32-E72D297353CC}">
              <c16:uniqueId val="{00000003-57B7-40CD-B2B6-5F92C1A4205E}"/>
            </c:ext>
          </c:extLst>
        </c:ser>
        <c:ser>
          <c:idx val="1"/>
          <c:order val="1"/>
          <c:tx>
            <c:strRef>
              <c:f>SD_DP!$H$6</c:f>
              <c:strCache>
                <c:ptCount val="1"/>
                <c:pt idx="0">
                  <c:v>Benchmark value</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B7-40CD-B2B6-5F92C1A4205E}"/>
                </c:ext>
              </c:extLst>
            </c:dLbl>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SD_DP!$G$6</c:f>
              <c:numCache>
                <c:formatCode>0.0%</c:formatCode>
                <c:ptCount val="1"/>
                <c:pt idx="0">
                  <c:v>0</c:v>
                </c:pt>
              </c:numCache>
            </c:numRef>
          </c:val>
          <c:smooth val="0"/>
          <c:extLst>
            <c:ext xmlns:c16="http://schemas.microsoft.com/office/drawing/2014/chart" uri="{C3380CC4-5D6E-409C-BE32-E72D297353CC}">
              <c16:uniqueId val="{00000005-57B7-40CD-B2B6-5F92C1A4205E}"/>
            </c:ext>
          </c:extLst>
        </c:ser>
        <c:ser>
          <c:idx val="2"/>
          <c:order val="2"/>
          <c:tx>
            <c:strRef>
              <c:f>SD_DP!$H$11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SD_DP!$G$11</c:f>
              <c:numCache>
                <c:formatCode>0.0%</c:formatCode>
                <c:ptCount val="1"/>
                <c:pt idx="0">
                  <c:v>0</c:v>
                </c:pt>
              </c:numCache>
            </c:numRef>
          </c:val>
          <c:smooth val="0"/>
          <c:extLst>
            <c:ext xmlns:c16="http://schemas.microsoft.com/office/drawing/2014/chart" uri="{C3380CC4-5D6E-409C-BE32-E72D297353CC}">
              <c16:uniqueId val="{00000006-57B7-40CD-B2B6-5F92C1A4205E}"/>
            </c:ext>
          </c:extLst>
        </c:ser>
        <c:ser>
          <c:idx val="3"/>
          <c:order val="3"/>
          <c:tx>
            <c:strRef>
              <c:f>SD_DP!$H$13</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SD_DP!$G$13</c:f>
              <c:numCache>
                <c:formatCode>0.0%</c:formatCode>
                <c:ptCount val="1"/>
                <c:pt idx="0">
                  <c:v>0</c:v>
                </c:pt>
              </c:numCache>
            </c:numRef>
          </c:val>
          <c:smooth val="0"/>
          <c:extLst>
            <c:ext xmlns:c16="http://schemas.microsoft.com/office/drawing/2014/chart" uri="{C3380CC4-5D6E-409C-BE32-E72D297353CC}">
              <c16:uniqueId val="{00000007-57B7-40CD-B2B6-5F92C1A4205E}"/>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987716034302395"/>
          <c:w val="1"/>
          <c:h val="0.1676121749697755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03611230759329"/>
          <c:y val="4.480334858072979E-2"/>
          <c:w val="0.91865985966972652"/>
          <c:h val="0.71660320512820508"/>
        </c:manualLayout>
      </c:layout>
      <c:lineChart>
        <c:grouping val="standard"/>
        <c:varyColors val="0"/>
        <c:ser>
          <c:idx val="0"/>
          <c:order val="0"/>
          <c:tx>
            <c:strRef>
              <c:f>'COM_RT (f)'!$F$39</c:f>
              <c:strCache>
                <c:ptCount val="1"/>
                <c:pt idx="0">
                  <c:v>Discretionary target setting - ROE (state financed)</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C-497A-470B-A923-B133B8591513}"/>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8-497A-470B-A923-B133B8591513}"/>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9-497A-470B-A923-B133B8591513}"/>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A-497A-470B-A923-B133B8591513}"/>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B-497A-470B-A923-B133B8591513}"/>
                </c:ext>
              </c:extLst>
            </c:dLbl>
            <c:dLbl>
              <c:idx val="8"/>
              <c:delete val="1"/>
              <c:extLst>
                <c:ext xmlns:c15="http://schemas.microsoft.com/office/drawing/2012/chart" uri="{CE6537A1-D6FC-4f65-9D91-7224C49458BB}"/>
                <c:ext xmlns:c16="http://schemas.microsoft.com/office/drawing/2014/chart" uri="{C3380CC4-5D6E-409C-BE32-E72D297353CC}">
                  <c16:uniqueId val="{00000008-A8F3-4FBD-B870-BBADA2AE7273}"/>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(f)'!$G$39:$O$39</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0-BFC1-4555-987C-5845A326532D}"/>
            </c:ext>
          </c:extLst>
        </c:ser>
        <c:ser>
          <c:idx val="1"/>
          <c:order val="1"/>
          <c:tx>
            <c:strRef>
              <c:f>'COM_RT (f)'!$F$40</c:f>
              <c:strCache>
                <c:ptCount val="1"/>
                <c:pt idx="0">
                  <c:v> Linear/stepped approach - ROE (state financed)</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square"/>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2-497A-470B-A923-B133B8591513}"/>
              </c:ext>
            </c:extLst>
          </c:dPt>
          <c:dPt>
            <c:idx val="4"/>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3-497A-470B-A923-B133B8591513}"/>
              </c:ext>
            </c:extLst>
          </c:dPt>
          <c:dPt>
            <c:idx val="5"/>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4-497A-470B-A923-B133B8591513}"/>
              </c:ext>
            </c:extLst>
          </c:dPt>
          <c:dPt>
            <c:idx val="6"/>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5-497A-470B-A923-B133B8591513}"/>
              </c:ext>
            </c:extLst>
          </c:dPt>
          <c:dPt>
            <c:idx val="7"/>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7-497A-470B-A923-B133B8591513}"/>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497A-470B-A923-B133B8591513}"/>
                </c:ext>
              </c:extLst>
            </c:dLbl>
            <c:dLbl>
              <c:idx val="8"/>
              <c:delete val="1"/>
              <c:extLst>
                <c:ext xmlns:c15="http://schemas.microsoft.com/office/drawing/2012/chart" uri="{CE6537A1-D6FC-4f65-9D91-7224C49458BB}"/>
                <c:ext xmlns:c16="http://schemas.microsoft.com/office/drawing/2014/chart" uri="{C3380CC4-5D6E-409C-BE32-E72D297353CC}">
                  <c16:uniqueId val="{00000007-A8F3-4FBD-B870-BBADA2AE727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(f)'!$G$40:$O$40</c:f>
              <c:numCache>
                <c:formatCode>0.00%</c:formatCode>
                <c:ptCount val="9"/>
                <c:pt idx="3">
                  <c:v>0</c:v>
                </c:pt>
                <c:pt idx="4">
                  <c:v>0</c:v>
                </c:pt>
                <c:pt idx="5">
                  <c:v>0</c:v>
                </c:pt>
                <c:pt idx="6">
                  <c:v>0</c:v>
                </c:pt>
                <c:pt idx="7">
                  <c:v>0</c:v>
                </c:pt>
                <c:pt idx="8" formatCode="0.0000">
                  <c:v>0</c:v>
                </c:pt>
              </c:numCache>
            </c:numRef>
          </c:val>
          <c:smooth val="0"/>
          <c:extLst>
            <c:ext xmlns:c16="http://schemas.microsoft.com/office/drawing/2014/chart" uri="{C3380CC4-5D6E-409C-BE32-E72D297353CC}">
              <c16:uniqueId val="{00000001-BFC1-4555-987C-5845A326532D}"/>
            </c:ext>
          </c:extLst>
        </c:ser>
        <c:ser>
          <c:idx val="2"/>
          <c:order val="2"/>
          <c:tx>
            <c:strRef>
              <c:f>'COM_RT (f)'!$F$41</c:f>
              <c:strCache>
                <c:ptCount val="1"/>
                <c:pt idx="0">
                  <c:v>Benchmark value (state financed) CY+5</c:v>
                </c:pt>
              </c:strCache>
            </c:strRef>
          </c:tx>
          <c:spPr>
            <a:ln w="25400" cap="rnd">
              <a:noFill/>
              <a:round/>
            </a:ln>
            <a:effectLst/>
          </c:spPr>
          <c:marker>
            <c:symbol val="square"/>
            <c:size val="5"/>
            <c:spPr>
              <a:solidFill>
                <a:schemeClr val="tx1">
                  <a:lumMod val="75000"/>
                  <a:lumOff val="25000"/>
                </a:schemeClr>
              </a:solidFill>
              <a:ln w="9525">
                <a:solidFill>
                  <a:schemeClr val="tx1">
                    <a:lumMod val="75000"/>
                    <a:lumOff val="25000"/>
                  </a:schemeClr>
                </a:solidFill>
              </a:ln>
              <a:effectLst/>
            </c:spPr>
          </c:marker>
          <c:dPt>
            <c:idx val="8"/>
            <c:marker>
              <c:symbol val="square"/>
              <c:size val="5"/>
              <c:spPr>
                <a:solidFill>
                  <a:schemeClr val="tx1">
                    <a:lumMod val="75000"/>
                    <a:lumOff val="25000"/>
                  </a:schemeClr>
                </a:solidFill>
                <a:ln w="9525">
                  <a:solidFill>
                    <a:schemeClr val="tx1">
                      <a:lumMod val="75000"/>
                      <a:lumOff val="25000"/>
                    </a:schemeClr>
                  </a:solidFill>
                </a:ln>
                <a:effectLst/>
              </c:spPr>
            </c:marker>
            <c:bubble3D val="0"/>
            <c:spPr>
              <a:ln w="25400" cap="rnd">
                <a:noFill/>
                <a:round/>
              </a:ln>
              <a:effectLst/>
            </c:spPr>
            <c:extLst>
              <c:ext xmlns:c16="http://schemas.microsoft.com/office/drawing/2014/chart" uri="{C3380CC4-5D6E-409C-BE32-E72D297353CC}">
                <c16:uniqueId val="{0000000D-497A-470B-A923-B133B8591513}"/>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(f)'!$G$41:$O$41</c:f>
              <c:numCache>
                <c:formatCode>0.00%</c:formatCode>
                <c:ptCount val="9"/>
                <c:pt idx="8">
                  <c:v>0</c:v>
                </c:pt>
              </c:numCache>
            </c:numRef>
          </c:val>
          <c:smooth val="0"/>
          <c:extLst>
            <c:ext xmlns:c16="http://schemas.microsoft.com/office/drawing/2014/chart" uri="{C3380CC4-5D6E-409C-BE32-E72D297353CC}">
              <c16:uniqueId val="{00000004-BFC1-4555-987C-5845A326532D}"/>
            </c:ext>
          </c:extLst>
        </c:ser>
        <c:ser>
          <c:idx val="4"/>
          <c:order val="3"/>
          <c:tx>
            <c:strRef>
              <c:f>'COM_RT (f)'!$F$43</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dLbl>
              <c:idx val="8"/>
              <c:layout>
                <c:manualLayout>
                  <c:x val="-6.0982567667255828E-2"/>
                  <c:y val="-1.3227510472126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7A-470B-A923-B133B8591513}"/>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(f)'!$G$43:$O$43</c:f>
              <c:numCache>
                <c:formatCode>0.00%</c:formatCode>
                <c:ptCount val="9"/>
                <c:pt idx="8">
                  <c:v>0</c:v>
                </c:pt>
              </c:numCache>
            </c:numRef>
          </c:val>
          <c:smooth val="0"/>
          <c:extLst>
            <c:ext xmlns:c16="http://schemas.microsoft.com/office/drawing/2014/chart" uri="{C3380CC4-5D6E-409C-BE32-E72D297353CC}">
              <c16:uniqueId val="{00000001-497A-470B-A923-B133B8591513}"/>
            </c:ext>
          </c:extLst>
        </c:ser>
        <c:ser>
          <c:idx val="3"/>
          <c:order val="4"/>
          <c:tx>
            <c:strRef>
              <c:f>'COM_RT (f)'!$F$42</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(f)'!$G$42:$O$42</c:f>
              <c:numCache>
                <c:formatCode>0.00%</c:formatCode>
                <c:ptCount val="9"/>
                <c:pt idx="8">
                  <c:v>0</c:v>
                </c:pt>
              </c:numCache>
            </c:numRef>
          </c:val>
          <c:smooth val="0"/>
          <c:extLst>
            <c:ext xmlns:c16="http://schemas.microsoft.com/office/drawing/2014/chart" uri="{C3380CC4-5D6E-409C-BE32-E72D297353CC}">
              <c16:uniqueId val="{00000005-BFC1-4555-987C-5845A326532D}"/>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329431278717281"/>
          <c:w val="1"/>
          <c:h val="0.166705585404827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SD_RT!$F$23</c:f>
              <c:strCache>
                <c:ptCount val="1"/>
                <c:pt idx="0">
                  <c:v>Benchmark period</c:v>
                </c:pt>
              </c:strCache>
            </c:strRef>
          </c:tx>
          <c:spPr>
            <a:solidFill>
              <a:schemeClr val="accent5"/>
            </a:solidFill>
            <a:ln>
              <a:noFill/>
            </a:ln>
            <a:effectLst/>
          </c:spPr>
          <c:invertIfNegative val="0"/>
          <c:dPt>
            <c:idx val="0"/>
            <c:invertIfNegative val="0"/>
            <c:bubble3D val="0"/>
            <c:spPr>
              <a:solidFill>
                <a:schemeClr val="accent2">
                  <a:lumMod val="20000"/>
                  <a:lumOff val="80000"/>
                  <a:alpha val="50000"/>
                </a:schemeClr>
              </a:solidFill>
              <a:ln>
                <a:solidFill>
                  <a:schemeClr val="bg1"/>
                </a:solidFill>
              </a:ln>
              <a:effectLst/>
            </c:spPr>
            <c:extLst>
              <c:ext xmlns:c16="http://schemas.microsoft.com/office/drawing/2014/chart" uri="{C3380CC4-5D6E-409C-BE32-E72D297353CC}">
                <c16:uniqueId val="{00000001-C041-468F-80E1-8C946B00B270}"/>
              </c:ext>
            </c:extLst>
          </c:dPt>
          <c:dPt>
            <c:idx val="1"/>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3-C041-468F-80E1-8C946B00B270}"/>
              </c:ext>
            </c:extLst>
          </c:dPt>
          <c:dPt>
            <c:idx val="2"/>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5-C041-468F-80E1-8C946B00B270}"/>
              </c:ext>
            </c:extLst>
          </c:dPt>
          <c:dPt>
            <c:idx val="3"/>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7-C041-468F-80E1-8C946B00B270}"/>
              </c:ext>
            </c:extLst>
          </c:dPt>
          <c:dLbls>
            <c:dLbl>
              <c:idx val="0"/>
              <c:tx>
                <c:rich>
                  <a:bodyPr/>
                  <a:lstStyle/>
                  <a:p>
                    <a:fld id="{D9F0850C-10BB-4277-B6CE-EE39F8F36EF9}"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041-468F-80E1-8C946B00B270}"/>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41-468F-80E1-8C946B00B270}"/>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41-468F-80E1-8C946B00B270}"/>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41-468F-80E1-8C946B00B27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COM_RT!$G$21:$J$21</c:f>
              <c:strCache>
                <c:ptCount val="4"/>
                <c:pt idx="0">
                  <c:v>CY</c:v>
                </c:pt>
                <c:pt idx="1">
                  <c:v>CY-1</c:v>
                </c:pt>
                <c:pt idx="2">
                  <c:v>CY-2</c:v>
                </c:pt>
                <c:pt idx="3">
                  <c:v>CY-3</c:v>
                </c:pt>
              </c:strCache>
            </c:strRef>
          </c:cat>
          <c:val>
            <c:numRef>
              <c:f>SD_RT!$G$23:$J$23</c:f>
              <c:numCache>
                <c:formatCode>0.00%</c:formatCode>
                <c:ptCount val="4"/>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C041-468F-80E1-8C946B00B270}"/>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SD_RT!$F$22</c:f>
              <c:strCache>
                <c:ptCount val="1"/>
                <c:pt idx="0">
                  <c:v>ROE (commercial)</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SD_RT!$G$22:$J$22</c:f>
              <c:numCache>
                <c:formatCode>0.00%</c:formatCode>
                <c:ptCount val="4"/>
              </c:numCache>
            </c:numRef>
          </c:val>
          <c:smooth val="0"/>
          <c:extLst>
            <c:ext xmlns:c16="http://schemas.microsoft.com/office/drawing/2014/chart" uri="{C3380CC4-5D6E-409C-BE32-E72D297353CC}">
              <c16:uniqueId val="{00000009-C041-468F-80E1-8C946B00B270}"/>
            </c:ext>
          </c:extLst>
        </c:ser>
        <c:ser>
          <c:idx val="1"/>
          <c:order val="1"/>
          <c:tx>
            <c:strRef>
              <c:f>SD_RT!$H$6</c:f>
              <c:strCache>
                <c:ptCount val="1"/>
                <c:pt idx="0">
                  <c:v>Benchmark value (commercial)</c:v>
                </c:pt>
              </c:strCache>
            </c:strRef>
          </c:tx>
          <c:spPr>
            <a:ln w="28575" cap="rnd">
              <a:noFill/>
              <a:round/>
            </a:ln>
            <a:effectLst/>
          </c:spPr>
          <c:marker>
            <c:symbol val="square"/>
            <c:size val="5"/>
            <c:spPr>
              <a:solidFill>
                <a:schemeClr val="accent2"/>
              </a:solidFill>
              <a:ln w="9525">
                <a:solidFill>
                  <a:schemeClr val="accent2"/>
                </a:solidFill>
              </a:ln>
              <a:effectLst/>
            </c:spPr>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041-468F-80E1-8C946B00B270}"/>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SD_RT!$G$6</c:f>
              <c:numCache>
                <c:formatCode>0.00%</c:formatCode>
                <c:ptCount val="1"/>
                <c:pt idx="0">
                  <c:v>0</c:v>
                </c:pt>
              </c:numCache>
            </c:numRef>
          </c:val>
          <c:smooth val="0"/>
          <c:extLst>
            <c:ext xmlns:c16="http://schemas.microsoft.com/office/drawing/2014/chart" uri="{C3380CC4-5D6E-409C-BE32-E72D297353CC}">
              <c16:uniqueId val="{0000000B-C041-468F-80E1-8C946B00B270}"/>
            </c:ext>
          </c:extLst>
        </c:ser>
        <c:ser>
          <c:idx val="2"/>
          <c:order val="2"/>
          <c:tx>
            <c:strRef>
              <c:f>SD_RT!$H$31</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SD_RT!$G$31</c:f>
              <c:numCache>
                <c:formatCode>0.00%</c:formatCode>
                <c:ptCount val="1"/>
                <c:pt idx="0">
                  <c:v>0</c:v>
                </c:pt>
              </c:numCache>
            </c:numRef>
          </c:val>
          <c:smooth val="0"/>
          <c:extLst>
            <c:ext xmlns:c16="http://schemas.microsoft.com/office/drawing/2014/chart" uri="{C3380CC4-5D6E-409C-BE32-E72D297353CC}">
              <c16:uniqueId val="{0000000C-C041-468F-80E1-8C946B00B270}"/>
            </c:ext>
          </c:extLst>
        </c:ser>
        <c:ser>
          <c:idx val="3"/>
          <c:order val="3"/>
          <c:tx>
            <c:strRef>
              <c:f>SD_RT!$H$32</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041-468F-80E1-8C946B00B270}"/>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SD_RT!$G$32</c:f>
              <c:numCache>
                <c:formatCode>0.00%</c:formatCode>
                <c:ptCount val="1"/>
                <c:pt idx="0">
                  <c:v>0</c:v>
                </c:pt>
              </c:numCache>
            </c:numRef>
          </c:val>
          <c:smooth val="0"/>
          <c:extLst>
            <c:ext xmlns:c16="http://schemas.microsoft.com/office/drawing/2014/chart" uri="{C3380CC4-5D6E-409C-BE32-E72D297353CC}">
              <c16:uniqueId val="{0000000E-C041-468F-80E1-8C946B00B270}"/>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SD_RT!$F$25</c:f>
              <c:strCache>
                <c:ptCount val="1"/>
                <c:pt idx="0">
                  <c:v>Benchmark period</c:v>
                </c:pt>
              </c:strCache>
            </c:strRef>
          </c:tx>
          <c:spPr>
            <a:solidFill>
              <a:schemeClr val="accent5"/>
            </a:solidFill>
            <a:ln>
              <a:solidFill>
                <a:schemeClr val="bg1">
                  <a:alpha val="50000"/>
                </a:schemeClr>
              </a:solidFill>
            </a:ln>
            <a:effectLst/>
          </c:spPr>
          <c:invertIfNegative val="0"/>
          <c:dPt>
            <c:idx val="0"/>
            <c:invertIfNegative val="0"/>
            <c:bubble3D val="0"/>
            <c:spPr>
              <a:solidFill>
                <a:schemeClr val="accent2">
                  <a:lumMod val="20000"/>
                  <a:lumOff val="80000"/>
                  <a:alpha val="50000"/>
                </a:schemeClr>
              </a:solidFill>
              <a:ln>
                <a:solidFill>
                  <a:schemeClr val="bg1">
                    <a:alpha val="50000"/>
                  </a:schemeClr>
                </a:solidFill>
              </a:ln>
              <a:effectLst/>
            </c:spPr>
            <c:extLst>
              <c:ext xmlns:c16="http://schemas.microsoft.com/office/drawing/2014/chart" uri="{C3380CC4-5D6E-409C-BE32-E72D297353CC}">
                <c16:uniqueId val="{00000001-6D13-40CD-ABE6-C8034EF2C165}"/>
              </c:ext>
            </c:extLst>
          </c:dPt>
          <c:dPt>
            <c:idx val="1"/>
            <c:invertIfNegative val="0"/>
            <c:bubble3D val="0"/>
            <c:spPr>
              <a:solidFill>
                <a:schemeClr val="bg1">
                  <a:lumMod val="95000"/>
                  <a:alpha val="50000"/>
                </a:schemeClr>
              </a:solidFill>
              <a:ln>
                <a:solidFill>
                  <a:schemeClr val="bg1"/>
                </a:solidFill>
              </a:ln>
              <a:effectLst/>
            </c:spPr>
            <c:extLst>
              <c:ext xmlns:c16="http://schemas.microsoft.com/office/drawing/2014/chart" uri="{C3380CC4-5D6E-409C-BE32-E72D297353CC}">
                <c16:uniqueId val="{00000003-6D13-40CD-ABE6-C8034EF2C165}"/>
              </c:ext>
            </c:extLst>
          </c:dPt>
          <c:dPt>
            <c:idx val="2"/>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5-6D13-40CD-ABE6-C8034EF2C165}"/>
              </c:ext>
            </c:extLst>
          </c:dPt>
          <c:dPt>
            <c:idx val="3"/>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7-6D13-40CD-ABE6-C8034EF2C165}"/>
              </c:ext>
            </c:extLst>
          </c:dPt>
          <c:dLbls>
            <c:dLbl>
              <c:idx val="0"/>
              <c:tx>
                <c:rich>
                  <a:bodyPr/>
                  <a:lstStyle/>
                  <a:p>
                    <a:fld id="{3190B6AB-0E27-4C9B-BEED-48078E2AB77D}"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D13-40CD-ABE6-C8034EF2C165}"/>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13-40CD-ABE6-C8034EF2C165}"/>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13-40CD-ABE6-C8034EF2C165}"/>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13-40CD-ABE6-C8034EF2C16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COM_RT!$G$21:$J$21</c:f>
              <c:strCache>
                <c:ptCount val="4"/>
                <c:pt idx="0">
                  <c:v>CY</c:v>
                </c:pt>
                <c:pt idx="1">
                  <c:v>CY-1</c:v>
                </c:pt>
                <c:pt idx="2">
                  <c:v>CY-2</c:v>
                </c:pt>
                <c:pt idx="3">
                  <c:v>CY-3</c:v>
                </c:pt>
              </c:strCache>
            </c:strRef>
          </c:cat>
          <c:val>
            <c:numRef>
              <c:f>SD_RT!$G$25:$J$25</c:f>
              <c:numCache>
                <c:formatCode>0.00%</c:formatCode>
                <c:ptCount val="4"/>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6D13-40CD-ABE6-C8034EF2C165}"/>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SD_RT!$F$24</c:f>
              <c:strCache>
                <c:ptCount val="1"/>
                <c:pt idx="0">
                  <c:v>ROE (regulated)</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SD_RT!$G$24:$J$24</c:f>
              <c:numCache>
                <c:formatCode>0.00%</c:formatCode>
                <c:ptCount val="4"/>
              </c:numCache>
            </c:numRef>
          </c:val>
          <c:smooth val="0"/>
          <c:extLst>
            <c:ext xmlns:c16="http://schemas.microsoft.com/office/drawing/2014/chart" uri="{C3380CC4-5D6E-409C-BE32-E72D297353CC}">
              <c16:uniqueId val="{00000009-6D13-40CD-ABE6-C8034EF2C165}"/>
            </c:ext>
          </c:extLst>
        </c:ser>
        <c:ser>
          <c:idx val="1"/>
          <c:order val="1"/>
          <c:tx>
            <c:strRef>
              <c:f>SD_RT!$H$8</c:f>
              <c:strCache>
                <c:ptCount val="1"/>
                <c:pt idx="0">
                  <c:v>Benchmark value (regulated)</c:v>
                </c:pt>
              </c:strCache>
            </c:strRef>
          </c:tx>
          <c:spPr>
            <a:ln w="28575" cap="rnd">
              <a:no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SD_RT!$G$8</c:f>
              <c:numCache>
                <c:formatCode>0.00%</c:formatCode>
                <c:ptCount val="1"/>
                <c:pt idx="0">
                  <c:v>0</c:v>
                </c:pt>
              </c:numCache>
            </c:numRef>
          </c:val>
          <c:smooth val="0"/>
          <c:extLst>
            <c:ext xmlns:c16="http://schemas.microsoft.com/office/drawing/2014/chart" uri="{C3380CC4-5D6E-409C-BE32-E72D297353CC}">
              <c16:uniqueId val="{0000000A-6D13-40CD-ABE6-C8034EF2C165}"/>
            </c:ext>
          </c:extLst>
        </c:ser>
        <c:ser>
          <c:idx val="2"/>
          <c:order val="2"/>
          <c:tx>
            <c:strRef>
              <c:f>SD_RT!$H$34</c:f>
              <c:strCache>
                <c:ptCount val="1"/>
                <c:pt idx="0">
                  <c:v>Acceptable deviation lower bracket according to CSCC guidelines</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SD_RT!$G$34</c:f>
              <c:numCache>
                <c:formatCode>0.00%</c:formatCode>
                <c:ptCount val="1"/>
                <c:pt idx="0">
                  <c:v>0</c:v>
                </c:pt>
              </c:numCache>
            </c:numRef>
          </c:val>
          <c:smooth val="0"/>
          <c:extLst>
            <c:ext xmlns:c16="http://schemas.microsoft.com/office/drawing/2014/chart" uri="{C3380CC4-5D6E-409C-BE32-E72D297353CC}">
              <c16:uniqueId val="{0000000B-6D13-40CD-ABE6-C8034EF2C165}"/>
            </c:ext>
          </c:extLst>
        </c:ser>
        <c:ser>
          <c:idx val="3"/>
          <c:order val="3"/>
          <c:tx>
            <c:strRef>
              <c:f>SD_RT!$H$35</c:f>
              <c:strCache>
                <c:ptCount val="1"/>
                <c:pt idx="0">
                  <c:v>Acceptable deviation upper bracket according to CSCC guidelines</c:v>
                </c:pt>
              </c:strCache>
            </c:strRef>
          </c:tx>
          <c:spPr>
            <a:ln w="28575"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SD_RT!$G$35</c:f>
              <c:numCache>
                <c:formatCode>0.00%</c:formatCode>
                <c:ptCount val="1"/>
                <c:pt idx="0">
                  <c:v>0</c:v>
                </c:pt>
              </c:numCache>
            </c:numRef>
          </c:val>
          <c:smooth val="0"/>
          <c:extLst>
            <c:ext xmlns:c16="http://schemas.microsoft.com/office/drawing/2014/chart" uri="{C3380CC4-5D6E-409C-BE32-E72D297353CC}">
              <c16:uniqueId val="{0000000C-6D13-40CD-ABE6-C8034EF2C165}"/>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636520131339858E-2"/>
          <c:y val="1.364313912479434E-2"/>
          <c:w val="0.85205298247122552"/>
          <c:h val="0.7399074770258981"/>
        </c:manualLayout>
      </c:layout>
      <c:barChart>
        <c:barDir val="col"/>
        <c:grouping val="clustered"/>
        <c:varyColors val="0"/>
        <c:ser>
          <c:idx val="4"/>
          <c:order val="4"/>
          <c:tx>
            <c:strRef>
              <c:f>SD_RT!$F$27</c:f>
              <c:strCache>
                <c:ptCount val="1"/>
                <c:pt idx="0">
                  <c:v>Benchmark period</c:v>
                </c:pt>
              </c:strCache>
            </c:strRef>
          </c:tx>
          <c:spPr>
            <a:solidFill>
              <a:schemeClr val="accent5"/>
            </a:solidFill>
            <a:ln>
              <a:solidFill>
                <a:schemeClr val="bg1"/>
              </a:solidFill>
            </a:ln>
            <a:effectLst/>
          </c:spPr>
          <c:invertIfNegative val="0"/>
          <c:dPt>
            <c:idx val="0"/>
            <c:invertIfNegative val="0"/>
            <c:bubble3D val="0"/>
            <c:spPr>
              <a:solidFill>
                <a:schemeClr val="accent2">
                  <a:lumMod val="20000"/>
                  <a:lumOff val="80000"/>
                  <a:alpha val="50000"/>
                </a:schemeClr>
              </a:solidFill>
              <a:ln>
                <a:solidFill>
                  <a:schemeClr val="bg1">
                    <a:alpha val="50000"/>
                  </a:schemeClr>
                </a:solidFill>
              </a:ln>
              <a:effectLst/>
            </c:spPr>
            <c:extLst>
              <c:ext xmlns:c16="http://schemas.microsoft.com/office/drawing/2014/chart" uri="{C3380CC4-5D6E-409C-BE32-E72D297353CC}">
                <c16:uniqueId val="{00000001-E62F-420F-89BD-8635588C4596}"/>
              </c:ext>
            </c:extLst>
          </c:dPt>
          <c:dPt>
            <c:idx val="1"/>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3-E62F-420F-89BD-8635588C4596}"/>
              </c:ext>
            </c:extLst>
          </c:dPt>
          <c:dPt>
            <c:idx val="2"/>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5-E62F-420F-89BD-8635588C4596}"/>
              </c:ext>
            </c:extLst>
          </c:dPt>
          <c:dPt>
            <c:idx val="3"/>
            <c:invertIfNegative val="0"/>
            <c:bubble3D val="0"/>
            <c:spPr>
              <a:solidFill>
                <a:schemeClr val="bg1">
                  <a:lumMod val="95000"/>
                  <a:alpha val="50000"/>
                </a:schemeClr>
              </a:solidFill>
              <a:ln>
                <a:solidFill>
                  <a:schemeClr val="bg1">
                    <a:alpha val="50000"/>
                  </a:schemeClr>
                </a:solidFill>
              </a:ln>
              <a:effectLst/>
            </c:spPr>
            <c:extLst>
              <c:ext xmlns:c16="http://schemas.microsoft.com/office/drawing/2014/chart" uri="{C3380CC4-5D6E-409C-BE32-E72D297353CC}">
                <c16:uniqueId val="{00000007-E62F-420F-89BD-8635588C4596}"/>
              </c:ext>
            </c:extLst>
          </c:dPt>
          <c:dLbls>
            <c:dLbl>
              <c:idx val="0"/>
              <c:tx>
                <c:rich>
                  <a:bodyPr/>
                  <a:lstStyle/>
                  <a:p>
                    <a:fld id="{D92D175D-8FB6-4AB8-920C-803F82C40570}"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62F-420F-89BD-8635588C4596}"/>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2F-420F-89BD-8635588C4596}"/>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2F-420F-89BD-8635588C4596}"/>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2F-420F-89BD-8635588C459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0B0F0"/>
                    </a:solidFill>
                    <a:latin typeface="Arial" panose="020B0604020202020204" pitchFamily="34" charset="0"/>
                    <a:ea typeface="+mn-ea"/>
                    <a:cs typeface="Arial" panose="020B0604020202020204" pitchFamily="34" charset="0"/>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SD_RT!$G$21:$J$21</c:f>
              <c:strCache>
                <c:ptCount val="4"/>
                <c:pt idx="0">
                  <c:v>CY</c:v>
                </c:pt>
                <c:pt idx="1">
                  <c:v>CY-1</c:v>
                </c:pt>
                <c:pt idx="2">
                  <c:v>CY-2</c:v>
                </c:pt>
                <c:pt idx="3">
                  <c:v>CY-3</c:v>
                </c:pt>
              </c:strCache>
            </c:strRef>
          </c:cat>
          <c:val>
            <c:numRef>
              <c:f>SD_RT!$G$27:$J$27</c:f>
              <c:numCache>
                <c:formatCode>_(* #,##0.00_);_(* \(#,##0.00\);_(* "-"??_);_(@_)</c:formatCode>
                <c:ptCount val="4"/>
                <c:pt idx="0">
                  <c:v>0</c:v>
                </c:pt>
                <c:pt idx="1">
                  <c:v>0</c:v>
                </c:pt>
                <c:pt idx="2">
                  <c:v>0</c:v>
                </c:pt>
                <c:pt idx="3">
                  <c:v>0</c:v>
                </c:pt>
              </c:numCache>
            </c:numRef>
          </c:val>
          <c:extLst>
            <c:ext xmlns:c15="http://schemas.microsoft.com/office/drawing/2012/chart" uri="{02D57815-91ED-43cb-92C2-25804820EDAC}">
              <c15:datalabelsRange>
                <c15:f>COM_CS!$F$15</c15:f>
                <c15:dlblRangeCache>
                  <c:ptCount val="1"/>
                  <c:pt idx="0">
                    <c:v>Benchmark period</c:v>
                  </c:pt>
                </c15:dlblRangeCache>
              </c15:datalabelsRange>
            </c:ext>
            <c:ext xmlns:c16="http://schemas.microsoft.com/office/drawing/2014/chart" uri="{C3380CC4-5D6E-409C-BE32-E72D297353CC}">
              <c16:uniqueId val="{00000008-E62F-420F-89BD-8635588C4596}"/>
            </c:ext>
          </c:extLst>
        </c:ser>
        <c:dLbls>
          <c:showLegendKey val="0"/>
          <c:showVal val="0"/>
          <c:showCatName val="0"/>
          <c:showSerName val="0"/>
          <c:showPercent val="0"/>
          <c:showBubbleSize val="0"/>
        </c:dLbls>
        <c:gapWidth val="0"/>
        <c:overlap val="100"/>
        <c:axId val="1177901008"/>
        <c:axId val="762762320"/>
      </c:barChart>
      <c:lineChart>
        <c:grouping val="standard"/>
        <c:varyColors val="0"/>
        <c:ser>
          <c:idx val="0"/>
          <c:order val="0"/>
          <c:tx>
            <c:strRef>
              <c:f>SD_RT!$F$26</c:f>
              <c:strCache>
                <c:ptCount val="1"/>
                <c:pt idx="0">
                  <c:v>ROE (state financed)</c:v>
                </c:pt>
              </c:strCache>
            </c:strRef>
          </c:tx>
          <c:spPr>
            <a:ln w="12700" cap="rnd">
              <a:solidFill>
                <a:schemeClr val="accent1"/>
              </a:solidFill>
              <a:prstDash val="sysDash"/>
              <a:round/>
            </a:ln>
            <a:effectLst/>
          </c:spPr>
          <c:marker>
            <c:symbol val="x"/>
            <c:size val="5"/>
            <c:spPr>
              <a:noFill/>
              <a:ln w="9525">
                <a:solidFill>
                  <a:schemeClr val="accent1"/>
                </a:solid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SD_RT!$G$26:$J$26</c:f>
              <c:numCache>
                <c:formatCode>0.00%</c:formatCode>
                <c:ptCount val="4"/>
              </c:numCache>
            </c:numRef>
          </c:val>
          <c:smooth val="0"/>
          <c:extLst>
            <c:ext xmlns:c16="http://schemas.microsoft.com/office/drawing/2014/chart" uri="{C3380CC4-5D6E-409C-BE32-E72D297353CC}">
              <c16:uniqueId val="{00000009-E62F-420F-89BD-8635588C4596}"/>
            </c:ext>
          </c:extLst>
        </c:ser>
        <c:ser>
          <c:idx val="1"/>
          <c:order val="1"/>
          <c:tx>
            <c:strRef>
              <c:f>SD_RT!$H$10</c:f>
              <c:strCache>
                <c:ptCount val="1"/>
                <c:pt idx="0">
                  <c:v>Benchmark value (state financed)</c:v>
                </c:pt>
              </c:strCache>
            </c:strRef>
          </c:tx>
          <c:spPr>
            <a:ln w="28575" cap="rnd">
              <a:solidFill>
                <a:schemeClr val="accent2"/>
              </a:solid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SD_RT!$G$10</c:f>
              <c:numCache>
                <c:formatCode>0.00%</c:formatCode>
                <c:ptCount val="1"/>
                <c:pt idx="0">
                  <c:v>0</c:v>
                </c:pt>
              </c:numCache>
            </c:numRef>
          </c:val>
          <c:smooth val="0"/>
          <c:extLst>
            <c:ext xmlns:c16="http://schemas.microsoft.com/office/drawing/2014/chart" uri="{C3380CC4-5D6E-409C-BE32-E72D297353CC}">
              <c16:uniqueId val="{0000000A-E62F-420F-89BD-8635588C4596}"/>
            </c:ext>
          </c:extLst>
        </c:ser>
        <c:ser>
          <c:idx val="2"/>
          <c:order val="2"/>
          <c:tx>
            <c:strRef>
              <c:f>SD_RT!$H$37</c:f>
              <c:strCache>
                <c:ptCount val="1"/>
                <c:pt idx="0">
                  <c:v>Acceptable deviation lower bracket according to CSCC guidelines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SD_RT!$G$37</c:f>
              <c:numCache>
                <c:formatCode>0.00%</c:formatCode>
                <c:ptCount val="1"/>
                <c:pt idx="0">
                  <c:v>0</c:v>
                </c:pt>
              </c:numCache>
            </c:numRef>
          </c:val>
          <c:smooth val="0"/>
          <c:extLst>
            <c:ext xmlns:c16="http://schemas.microsoft.com/office/drawing/2014/chart" uri="{C3380CC4-5D6E-409C-BE32-E72D297353CC}">
              <c16:uniqueId val="{0000000B-E62F-420F-89BD-8635588C4596}"/>
            </c:ext>
          </c:extLst>
        </c:ser>
        <c:ser>
          <c:idx val="3"/>
          <c:order val="3"/>
          <c:tx>
            <c:strRef>
              <c:f>SD_RT!$H$38</c:f>
              <c:strCache>
                <c:ptCount val="1"/>
                <c:pt idx="0">
                  <c:v>Acceptable deviation upper bracket according to CSCC guidelines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COM_CS!$G$8:$J$8</c:f>
              <c:strCache>
                <c:ptCount val="4"/>
                <c:pt idx="0">
                  <c:v>CY</c:v>
                </c:pt>
                <c:pt idx="1">
                  <c:v>CY-1</c:v>
                </c:pt>
                <c:pt idx="2">
                  <c:v>CY-2</c:v>
                </c:pt>
                <c:pt idx="3">
                  <c:v>CY-3</c:v>
                </c:pt>
              </c:strCache>
            </c:strRef>
          </c:cat>
          <c:val>
            <c:numRef>
              <c:f>SD_RT!$G$38</c:f>
              <c:numCache>
                <c:formatCode>0.00%</c:formatCode>
                <c:ptCount val="1"/>
                <c:pt idx="0">
                  <c:v>0</c:v>
                </c:pt>
              </c:numCache>
            </c:numRef>
          </c:val>
          <c:smooth val="0"/>
          <c:extLst>
            <c:ext xmlns:c16="http://schemas.microsoft.com/office/drawing/2014/chart" uri="{C3380CC4-5D6E-409C-BE32-E72D297353CC}">
              <c16:uniqueId val="{0000000C-E62F-420F-89BD-8635588C4596}"/>
            </c:ext>
          </c:extLst>
        </c:ser>
        <c:dLbls>
          <c:showLegendKey val="0"/>
          <c:showVal val="0"/>
          <c:showCatName val="0"/>
          <c:showSerName val="0"/>
          <c:showPercent val="0"/>
          <c:showBubbleSize val="0"/>
        </c:dLbls>
        <c:marker val="1"/>
        <c:smooth val="0"/>
        <c:axId val="1177901008"/>
        <c:axId val="762762320"/>
      </c:lineChart>
      <c:catAx>
        <c:axId val="117790100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ax val="0"/>
        </c:scaling>
        <c:delete val="0"/>
        <c:axPos val="r"/>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2119079017561825"/>
          <c:w val="1"/>
          <c:h val="0.1762984017241747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82521234661172E-2"/>
          <c:y val="2.4506238090101752E-2"/>
          <c:w val="0.91946515060425349"/>
          <c:h val="0.76596728148707438"/>
        </c:manualLayout>
      </c:layout>
      <c:lineChart>
        <c:grouping val="standard"/>
        <c:varyColors val="0"/>
        <c:ser>
          <c:idx val="0"/>
          <c:order val="0"/>
          <c:tx>
            <c:strRef>
              <c:f>'COM_DP (f)'!$F$10</c:f>
              <c:strCache>
                <c:ptCount val="1"/>
                <c:pt idx="0">
                  <c:v>Discretionary target setting</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1B1F-4578-AE08-967368283324}"/>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1B1F-4578-AE08-967368283324}"/>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1B1F-4578-AE08-967368283324}"/>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1B1F-4578-AE08-967368283324}"/>
                </c:ext>
              </c:extLst>
            </c:dLbl>
            <c:dLbl>
              <c:idx val="8"/>
              <c:delete val="1"/>
              <c:extLst>
                <c:ext xmlns:c15="http://schemas.microsoft.com/office/drawing/2012/chart" uri="{CE6537A1-D6FC-4f65-9D91-7224C49458BB}"/>
                <c:ext xmlns:c16="http://schemas.microsoft.com/office/drawing/2014/chart" uri="{C3380CC4-5D6E-409C-BE32-E72D297353CC}">
                  <c16:uniqueId val="{00000002-B4ED-44F5-B16E-D9B575824B4D}"/>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(f)'!$G$10:$O$10</c:f>
              <c:numCache>
                <c:formatCode>0.0%</c:formatCode>
                <c:ptCount val="9"/>
                <c:pt idx="0">
                  <c:v>0</c:v>
                </c:pt>
                <c:pt idx="1">
                  <c:v>0</c:v>
                </c:pt>
                <c:pt idx="2">
                  <c:v>0</c:v>
                </c:pt>
                <c:pt idx="3">
                  <c:v>0</c:v>
                </c:pt>
                <c:pt idx="8">
                  <c:v>0</c:v>
                </c:pt>
              </c:numCache>
            </c:numRef>
          </c:val>
          <c:smooth val="0"/>
          <c:extLst>
            <c:ext xmlns:c16="http://schemas.microsoft.com/office/drawing/2014/chart" uri="{C3380CC4-5D6E-409C-BE32-E72D297353CC}">
              <c16:uniqueId val="{00000001-3D1B-4D72-BB23-19BAD8C3E3BE}"/>
            </c:ext>
          </c:extLst>
        </c:ser>
        <c:ser>
          <c:idx val="1"/>
          <c:order val="1"/>
          <c:tx>
            <c:strRef>
              <c:f>'COM_DP (f)'!$F$11</c:f>
              <c:strCache>
                <c:ptCount val="1"/>
                <c:pt idx="0">
                  <c:v>Linear/stepped approach - Dividend payout ratio</c:v>
                </c:pt>
              </c:strCache>
            </c:strRef>
          </c:tx>
          <c:spPr>
            <a:ln w="12700" cap="rnd">
              <a:solidFill>
                <a:schemeClr val="accent2"/>
              </a:solidFill>
              <a:prstDash val="sysDash"/>
              <a:round/>
            </a:ln>
            <a:effectLst/>
          </c:spPr>
          <c:marker>
            <c:symbol val="square"/>
            <c:size val="5"/>
            <c:spPr>
              <a:solidFill>
                <a:schemeClr val="accent2"/>
              </a:solidFill>
              <a:ln w="9525">
                <a:noFill/>
              </a:ln>
              <a:effectLst/>
            </c:spPr>
          </c:marker>
          <c:dPt>
            <c:idx val="3"/>
            <c:marker>
              <c:symbol val="x"/>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2-1B1F-4578-AE08-967368283324}"/>
              </c:ext>
            </c:extLst>
          </c:dPt>
          <c:dLbls>
            <c:dLbl>
              <c:idx val="3"/>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1B1F-4578-AE08-967368283324}"/>
                </c:ext>
              </c:extLst>
            </c:dLbl>
            <c:dLbl>
              <c:idx val="8"/>
              <c:delete val="1"/>
              <c:extLst>
                <c:ext xmlns:c15="http://schemas.microsoft.com/office/drawing/2012/chart" uri="{CE6537A1-D6FC-4f65-9D91-7224C49458BB}"/>
                <c:ext xmlns:c16="http://schemas.microsoft.com/office/drawing/2014/chart" uri="{C3380CC4-5D6E-409C-BE32-E72D297353CC}">
                  <c16:uniqueId val="{00000001-B4ED-44F5-B16E-D9B575824B4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(f)'!$G$11:$O$11</c:f>
              <c:numCache>
                <c:formatCode>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2-3D1B-4D72-BB23-19BAD8C3E3BE}"/>
            </c:ext>
          </c:extLst>
        </c:ser>
        <c:ser>
          <c:idx val="2"/>
          <c:order val="2"/>
          <c:tx>
            <c:strRef>
              <c:f>'COM_DP (f)'!$F$12</c:f>
              <c:strCache>
                <c:ptCount val="1"/>
                <c:pt idx="0">
                  <c:v>Benchmark value CY+5</c:v>
                </c:pt>
              </c:strCache>
            </c:strRef>
          </c:tx>
          <c:spPr>
            <a:ln w="28575" cap="rnd">
              <a:noFill/>
              <a:round/>
            </a:ln>
            <a:effectLst/>
          </c:spPr>
          <c:marker>
            <c:symbol val="square"/>
            <c:size val="5"/>
            <c:spPr>
              <a:solidFill>
                <a:schemeClr val="tx1">
                  <a:lumMod val="75000"/>
                  <a:lumOff val="25000"/>
                </a:schemeClr>
              </a:solidFill>
              <a:ln w="9525">
                <a:noFill/>
              </a:ln>
              <a:effectLst/>
            </c:spPr>
          </c:marker>
          <c:dLbls>
            <c:numFmt formatCode="0.0%" sourceLinked="0"/>
            <c:spPr>
              <a:noFill/>
              <a:ln>
                <a:noFill/>
              </a:ln>
              <a:effectLst/>
            </c:spPr>
            <c:txPr>
              <a:bodyPr rot="0" spcFirstLastPara="1" vertOverflow="ellipsis" vert="horz" wrap="square" anchor="ctr" anchorCtr="1"/>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(f)'!$G$12:$O$12</c:f>
              <c:numCache>
                <c:formatCode>0.0%</c:formatCode>
                <c:ptCount val="9"/>
                <c:pt idx="8">
                  <c:v>0</c:v>
                </c:pt>
              </c:numCache>
            </c:numRef>
          </c:val>
          <c:smooth val="0"/>
          <c:extLst>
            <c:ext xmlns:c16="http://schemas.microsoft.com/office/drawing/2014/chart" uri="{C3380CC4-5D6E-409C-BE32-E72D297353CC}">
              <c16:uniqueId val="{00000003-3D1B-4D72-BB23-19BAD8C3E3BE}"/>
            </c:ext>
          </c:extLst>
        </c:ser>
        <c:ser>
          <c:idx val="4"/>
          <c:order val="3"/>
          <c:tx>
            <c:strRef>
              <c:f>'COM_DP (f)'!$F$14</c:f>
              <c:strCache>
                <c:ptCount val="1"/>
                <c:pt idx="0">
                  <c:v>Acceptable deviation upper bracket according to CSCC guidelines</c:v>
                </c:pt>
              </c:strCache>
            </c:strRef>
          </c:tx>
          <c:spPr>
            <a:ln w="28575" cap="rnd">
              <a:noFill/>
              <a:round/>
            </a:ln>
            <a:effectLst/>
          </c:spPr>
          <c:marker>
            <c:symbol val="circle"/>
            <c:size val="5"/>
            <c:spPr>
              <a:solidFill>
                <a:schemeClr val="accent5"/>
              </a:solidFill>
              <a:ln w="9525">
                <a:solidFill>
                  <a:schemeClr val="accent5"/>
                </a:solidFill>
              </a:ln>
              <a:effectLst/>
            </c:spPr>
          </c:marker>
          <c:dLbls>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(f)'!$G$14:$O$14</c:f>
              <c:numCache>
                <c:formatCode>0.0%</c:formatCode>
                <c:ptCount val="9"/>
                <c:pt idx="8">
                  <c:v>0</c:v>
                </c:pt>
              </c:numCache>
            </c:numRef>
          </c:val>
          <c:smooth val="0"/>
          <c:extLst>
            <c:ext xmlns:c16="http://schemas.microsoft.com/office/drawing/2014/chart" uri="{C3380CC4-5D6E-409C-BE32-E72D297353CC}">
              <c16:uniqueId val="{00000001-1B1F-4578-AE08-967368283324}"/>
            </c:ext>
          </c:extLst>
        </c:ser>
        <c:ser>
          <c:idx val="3"/>
          <c:order val="4"/>
          <c:tx>
            <c:strRef>
              <c:f>'COM_DP (f)'!$F$13</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'COM_DP (f)'!$G$9:$O$9</c:f>
              <c:strCache>
                <c:ptCount val="9"/>
                <c:pt idx="0">
                  <c:v>CY-3</c:v>
                </c:pt>
                <c:pt idx="1">
                  <c:v>CY-2</c:v>
                </c:pt>
                <c:pt idx="2">
                  <c:v>CY-1</c:v>
                </c:pt>
                <c:pt idx="3">
                  <c:v>CY</c:v>
                </c:pt>
                <c:pt idx="4">
                  <c:v>CY+1</c:v>
                </c:pt>
                <c:pt idx="5">
                  <c:v>CY+2</c:v>
                </c:pt>
                <c:pt idx="6">
                  <c:v>CY+3</c:v>
                </c:pt>
                <c:pt idx="7">
                  <c:v>CY+4</c:v>
                </c:pt>
                <c:pt idx="8">
                  <c:v>CY+5</c:v>
                </c:pt>
              </c:strCache>
            </c:strRef>
          </c:cat>
          <c:val>
            <c:numRef>
              <c:f>'COM_DP (f)'!$G$13:$O$13</c:f>
              <c:numCache>
                <c:formatCode>0.0%</c:formatCode>
                <c:ptCount val="9"/>
                <c:pt idx="8" formatCode="0.00%">
                  <c:v>0</c:v>
                </c:pt>
              </c:numCache>
            </c:numRef>
          </c:val>
          <c:smooth val="0"/>
          <c:extLst>
            <c:ext xmlns:c16="http://schemas.microsoft.com/office/drawing/2014/chart" uri="{C3380CC4-5D6E-409C-BE32-E72D297353CC}">
              <c16:uniqueId val="{00000004-3D1B-4D72-BB23-19BAD8C3E3BE}"/>
            </c:ext>
          </c:extLst>
        </c:ser>
        <c:dLbls>
          <c:showLegendKey val="0"/>
          <c:showVal val="0"/>
          <c:showCatName val="0"/>
          <c:showSerName val="0"/>
          <c:showPercent val="0"/>
          <c:showBubbleSize val="0"/>
        </c:dLbls>
        <c:marker val="1"/>
        <c:smooth val="0"/>
        <c:axId val="1177901008"/>
        <c:axId val="762762320"/>
      </c:lineChart>
      <c:catAx>
        <c:axId val="11779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86887397979362169"/>
          <c:w val="1"/>
          <c:h val="0.1311260202063782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717877951548602E-2"/>
          <c:y val="3.9118110236220478E-2"/>
          <c:w val="0.96028212204845143"/>
          <c:h val="0.79287754739824046"/>
        </c:manualLayout>
      </c:layout>
      <c:lineChart>
        <c:grouping val="standard"/>
        <c:varyColors val="0"/>
        <c:ser>
          <c:idx val="0"/>
          <c:order val="0"/>
          <c:tx>
            <c:strRef>
              <c:f>'KOM_KS (p)'!$F$10</c:f>
              <c:strCache>
                <c:ptCount val="1"/>
                <c:pt idx="0">
                  <c:v>Discretionary target setting</c:v>
                </c:pt>
              </c:strCache>
            </c:strRef>
          </c:tx>
          <c:spPr>
            <a:ln w="12700" cap="rnd">
              <a:solidFill>
                <a:schemeClr val="accent2"/>
              </a:solidFill>
              <a:round/>
            </a:ln>
            <a:effectLst/>
          </c:spPr>
          <c:marker>
            <c:symbol val="square"/>
            <c:size val="5"/>
            <c:spPr>
              <a:noFill/>
              <a:ln w="9525">
                <a:solidFill>
                  <a:schemeClr val="accent2"/>
                </a:solidFill>
              </a:ln>
              <a:effectLst/>
            </c:spPr>
          </c:marker>
          <c:dPt>
            <c:idx val="0"/>
            <c:marker>
              <c:symbol val="square"/>
              <c:size val="5"/>
              <c:spPr>
                <a:noFill/>
                <a:ln w="9525">
                  <a:solidFill>
                    <a:schemeClr val="accent5"/>
                  </a:solidFill>
                </a:ln>
                <a:effectLst/>
              </c:spPr>
            </c:marker>
            <c:bubble3D val="0"/>
            <c:extLst>
              <c:ext xmlns:c16="http://schemas.microsoft.com/office/drawing/2014/chart" uri="{C3380CC4-5D6E-409C-BE32-E72D297353CC}">
                <c16:uniqueId val="{00000000-4EE3-4A93-854D-30C2D8600945}"/>
              </c:ext>
            </c:extLst>
          </c:dPt>
          <c:dPt>
            <c:idx val="3"/>
            <c:marker>
              <c:symbol val="square"/>
              <c:size val="5"/>
              <c:spPr>
                <a:noFill/>
                <a:ln w="9525">
                  <a:solidFill>
                    <a:schemeClr val="accent2"/>
                  </a:solidFill>
                </a:ln>
                <a:effectLst/>
              </c:spPr>
            </c:marker>
            <c:bubble3D val="0"/>
            <c:extLst>
              <c:ext xmlns:c16="http://schemas.microsoft.com/office/drawing/2014/chart" uri="{C3380CC4-5D6E-409C-BE32-E72D297353CC}">
                <c16:uniqueId val="{00000001-4EE3-4A93-854D-30C2D8600945}"/>
              </c:ext>
            </c:extLst>
          </c:dPt>
          <c:dLbls>
            <c:dLbl>
              <c:idx val="0"/>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4EE3-4A93-854D-30C2D8600945}"/>
                </c:ext>
              </c:extLst>
            </c:dLbl>
            <c:dLbl>
              <c:idx val="1"/>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4EE3-4A93-854D-30C2D8600945}"/>
                </c:ext>
              </c:extLst>
            </c:dLbl>
            <c:dLbl>
              <c:idx val="2"/>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4EE3-4A93-854D-30C2D8600945}"/>
                </c:ext>
              </c:extLst>
            </c:dLbl>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4EE3-4A93-854D-30C2D8600945}"/>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4EE3-4A93-854D-30C2D8600945}"/>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4EE3-4A93-854D-30C2D8600945}"/>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4EE3-4A93-854D-30C2D8600945}"/>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4EE3-4A93-854D-30C2D8600945}"/>
                </c:ext>
              </c:extLst>
            </c:dLbl>
            <c:dLbl>
              <c:idx val="8"/>
              <c:delete val="1"/>
              <c:extLst>
                <c:ext xmlns:c15="http://schemas.microsoft.com/office/drawing/2012/chart" uri="{CE6537A1-D6FC-4f65-9D91-7224C49458BB}"/>
                <c:ext xmlns:c16="http://schemas.microsoft.com/office/drawing/2014/chart" uri="{C3380CC4-5D6E-409C-BE32-E72D297353CC}">
                  <c16:uniqueId val="{00000008-4EE3-4A93-854D-30C2D860094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(p)'!$G$10:$O$10</c:f>
              <c:numCache>
                <c:formatCode>0.00</c:formatCode>
                <c:ptCount val="9"/>
                <c:pt idx="0">
                  <c:v>0</c:v>
                </c:pt>
                <c:pt idx="1">
                  <c:v>0</c:v>
                </c:pt>
                <c:pt idx="2">
                  <c:v>0</c:v>
                </c:pt>
                <c:pt idx="3">
                  <c:v>0</c:v>
                </c:pt>
                <c:pt idx="8">
                  <c:v>0</c:v>
                </c:pt>
              </c:numCache>
            </c:numRef>
          </c:val>
          <c:smooth val="0"/>
          <c:extLst>
            <c:ext xmlns:c16="http://schemas.microsoft.com/office/drawing/2014/chart" uri="{C3380CC4-5D6E-409C-BE32-E72D297353CC}">
              <c16:uniqueId val="{00000009-4EE3-4A93-854D-30C2D8600945}"/>
            </c:ext>
          </c:extLst>
        </c:ser>
        <c:ser>
          <c:idx val="1"/>
          <c:order val="1"/>
          <c:tx>
            <c:strRef>
              <c:f>'KOM_KS (p)'!$F$11</c:f>
              <c:strCache>
                <c:ptCount val="1"/>
                <c:pt idx="0">
                  <c:v>Linear/stepped approach </c:v>
                </c:pt>
              </c:strCache>
            </c:strRef>
          </c:tx>
          <c:spPr>
            <a:ln w="12700" cap="rnd">
              <a:solidFill>
                <a:schemeClr val="accent2"/>
              </a:solidFill>
              <a:prstDash val="sysDash"/>
              <a:round/>
            </a:ln>
            <a:effectLst/>
          </c:spPr>
          <c:marker>
            <c:symbol val="square"/>
            <c:size val="5"/>
            <c:spPr>
              <a:solidFill>
                <a:schemeClr val="accent2"/>
              </a:solidFill>
              <a:ln w="9525">
                <a:no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B-4EE3-4A93-854D-30C2D8600945}"/>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B-4EE3-4A93-854D-30C2D8600945}"/>
                </c:ext>
              </c:extLst>
            </c:dLbl>
            <c:dLbl>
              <c:idx val="8"/>
              <c:delete val="1"/>
              <c:extLst>
                <c:ext xmlns:c15="http://schemas.microsoft.com/office/drawing/2012/chart" uri="{CE6537A1-D6FC-4f65-9D91-7224C49458BB}"/>
                <c:ext xmlns:c16="http://schemas.microsoft.com/office/drawing/2014/chart" uri="{C3380CC4-5D6E-409C-BE32-E72D297353CC}">
                  <c16:uniqueId val="{0000000C-4EE3-4A93-854D-30C2D860094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(p)'!$G$11:$O$11</c:f>
              <c:numCache>
                <c:formatCode>0.00</c:formatCode>
                <c:ptCount val="9"/>
                <c:pt idx="3">
                  <c:v>0</c:v>
                </c:pt>
                <c:pt idx="4">
                  <c:v>0</c:v>
                </c:pt>
                <c:pt idx="5">
                  <c:v>0</c:v>
                </c:pt>
                <c:pt idx="6">
                  <c:v>0</c:v>
                </c:pt>
                <c:pt idx="7">
                  <c:v>0</c:v>
                </c:pt>
                <c:pt idx="8">
                  <c:v>0</c:v>
                </c:pt>
              </c:numCache>
            </c:numRef>
          </c:val>
          <c:smooth val="0"/>
          <c:extLst>
            <c:ext xmlns:c16="http://schemas.microsoft.com/office/drawing/2014/chart" uri="{C3380CC4-5D6E-409C-BE32-E72D297353CC}">
              <c16:uniqueId val="{0000000D-4EE3-4A93-854D-30C2D8600945}"/>
            </c:ext>
          </c:extLst>
        </c:ser>
        <c:ser>
          <c:idx val="2"/>
          <c:order val="2"/>
          <c:tx>
            <c:strRef>
              <c:f>'KOM_KS (p)'!$F$12</c:f>
              <c:strCache>
                <c:ptCount val="1"/>
                <c:pt idx="0">
                  <c:v>Benchmark value CY+5</c:v>
                </c:pt>
              </c:strCache>
            </c:strRef>
          </c:tx>
          <c:spPr>
            <a:ln w="28575" cap="rnd">
              <a:noFill/>
              <a:round/>
            </a:ln>
            <a:effectLst/>
          </c:spPr>
          <c:marker>
            <c:symbol val="square"/>
            <c:size val="5"/>
            <c:spPr>
              <a:solidFill>
                <a:schemeClr val="accent3"/>
              </a:solidFill>
              <a:ln w="9525">
                <a:noFill/>
              </a:ln>
              <a:effectLst/>
            </c:spPr>
          </c:marker>
          <c:dPt>
            <c:idx val="8"/>
            <c:marker>
              <c:symbol val="square"/>
              <c:size val="5"/>
              <c:spPr>
                <a:solidFill>
                  <a:schemeClr val="tx1">
                    <a:lumMod val="75000"/>
                    <a:lumOff val="25000"/>
                  </a:schemeClr>
                </a:solidFill>
                <a:ln w="9525">
                  <a:noFill/>
                </a:ln>
                <a:effectLst/>
              </c:spPr>
            </c:marker>
            <c:bubble3D val="0"/>
            <c:spPr>
              <a:ln w="28575" cap="rnd">
                <a:noFill/>
                <a:round/>
              </a:ln>
              <a:effectLst/>
            </c:spPr>
            <c:extLst>
              <c:ext xmlns:c16="http://schemas.microsoft.com/office/drawing/2014/chart" uri="{C3380CC4-5D6E-409C-BE32-E72D297353CC}">
                <c16:uniqueId val="{0000000F-4EE3-4A93-854D-30C2D8600945}"/>
              </c:ext>
            </c:extLst>
          </c:dPt>
          <c:dLbls>
            <c:dLbl>
              <c:idx val="8"/>
              <c:numFmt formatCode="#,##0.00" sourceLinked="0"/>
              <c:spPr>
                <a:noFill/>
                <a:ln>
                  <a:noFill/>
                </a:ln>
                <a:effectLst/>
              </c:spPr>
              <c:txPr>
                <a:bodyPr rot="0" spcFirstLastPara="1" vertOverflow="ellipsis" vert="horz" wrap="square" anchor="ctr" anchorCtr="1"/>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0F-4EE3-4A93-854D-30C2D8600945}"/>
                </c:ext>
              </c:extLst>
            </c:dLbl>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(p)'!$G$12:$O$12</c:f>
              <c:numCache>
                <c:formatCode>0.00</c:formatCode>
                <c:ptCount val="9"/>
                <c:pt idx="8">
                  <c:v>0</c:v>
                </c:pt>
              </c:numCache>
            </c:numRef>
          </c:val>
          <c:smooth val="0"/>
          <c:extLst>
            <c:ext xmlns:c16="http://schemas.microsoft.com/office/drawing/2014/chart" uri="{C3380CC4-5D6E-409C-BE32-E72D297353CC}">
              <c16:uniqueId val="{00000010-4EE3-4A93-854D-30C2D8600945}"/>
            </c:ext>
          </c:extLst>
        </c:ser>
        <c:ser>
          <c:idx val="3"/>
          <c:order val="3"/>
          <c:tx>
            <c:strRef>
              <c:f>'KOM_KS (p)'!$F$13</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(p)'!$G$13:$O$13</c:f>
              <c:numCache>
                <c:formatCode>0.00</c:formatCode>
                <c:ptCount val="9"/>
                <c:pt idx="8">
                  <c:v>0</c:v>
                </c:pt>
              </c:numCache>
            </c:numRef>
          </c:val>
          <c:smooth val="0"/>
          <c:extLst>
            <c:ext xmlns:c16="http://schemas.microsoft.com/office/drawing/2014/chart" uri="{C3380CC4-5D6E-409C-BE32-E72D297353CC}">
              <c16:uniqueId val="{00000011-4EE3-4A93-854D-30C2D8600945}"/>
            </c:ext>
          </c:extLst>
        </c:ser>
        <c:ser>
          <c:idx val="4"/>
          <c:order val="4"/>
          <c:tx>
            <c:strRef>
              <c:f>'KOM_KS (p)'!$F$14</c:f>
              <c:strCache>
                <c:ptCount val="1"/>
                <c:pt idx="0">
                  <c:v>Acceptable deviation upper bracket according to CSCC guidelines</c:v>
                </c:pt>
              </c:strCache>
            </c:strRef>
          </c:tx>
          <c:spPr>
            <a:ln w="28575" cap="rnd">
              <a:noFill/>
              <a:round/>
            </a:ln>
            <a:effectLst/>
          </c:spPr>
          <c:marker>
            <c:symbol val="circle"/>
            <c:size val="5"/>
            <c:spPr>
              <a:solidFill>
                <a:schemeClr val="accent5"/>
              </a:solidFill>
              <a:ln w="9525">
                <a:solidFill>
                  <a:schemeClr val="accent5"/>
                </a:solidFill>
              </a:ln>
              <a:effectLst/>
            </c:spPr>
          </c:marker>
          <c:dLbls>
            <c:numFmt formatCode="#,##0.00"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'KOM_KS (p)'!$G$9:$O$9</c:f>
              <c:strCache>
                <c:ptCount val="9"/>
                <c:pt idx="0">
                  <c:v>CY-3</c:v>
                </c:pt>
                <c:pt idx="1">
                  <c:v>CY-2</c:v>
                </c:pt>
                <c:pt idx="2">
                  <c:v>CY-1</c:v>
                </c:pt>
                <c:pt idx="3">
                  <c:v>CY</c:v>
                </c:pt>
                <c:pt idx="4">
                  <c:v>CY+1</c:v>
                </c:pt>
                <c:pt idx="5">
                  <c:v>CY+2</c:v>
                </c:pt>
                <c:pt idx="6">
                  <c:v>CY+3</c:v>
                </c:pt>
                <c:pt idx="7">
                  <c:v>CY+4</c:v>
                </c:pt>
                <c:pt idx="8">
                  <c:v>CY+5</c:v>
                </c:pt>
              </c:strCache>
            </c:strRef>
          </c:cat>
          <c:val>
            <c:numRef>
              <c:f>'KOM_KS (p)'!$G$14:$O$14</c:f>
              <c:numCache>
                <c:formatCode>0.00</c:formatCode>
                <c:ptCount val="9"/>
                <c:pt idx="8">
                  <c:v>0</c:v>
                </c:pt>
              </c:numCache>
            </c:numRef>
          </c:val>
          <c:smooth val="0"/>
          <c:extLst>
            <c:ext xmlns:c16="http://schemas.microsoft.com/office/drawing/2014/chart" uri="{C3380CC4-5D6E-409C-BE32-E72D297353CC}">
              <c16:uniqueId val="{00000012-4EE3-4A93-854D-30C2D8600945}"/>
            </c:ext>
          </c:extLst>
        </c:ser>
        <c:dLbls>
          <c:showLegendKey val="0"/>
          <c:showVal val="0"/>
          <c:showCatName val="0"/>
          <c:showSerName val="0"/>
          <c:showPercent val="0"/>
          <c:showBubbleSize val="0"/>
        </c:dLbls>
        <c:marker val="1"/>
        <c:smooth val="0"/>
        <c:axId val="1177901008"/>
        <c:axId val="762762320"/>
      </c:lineChart>
      <c:catAx>
        <c:axId val="11779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762762320"/>
        <c:crosses val="autoZero"/>
        <c:auto val="1"/>
        <c:lblAlgn val="ctr"/>
        <c:lblOffset val="100"/>
        <c:noMultiLvlLbl val="0"/>
      </c:catAx>
      <c:valAx>
        <c:axId val="7627623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7901008"/>
        <c:crosses val="autoZero"/>
        <c:crossBetween val="between"/>
      </c:valAx>
      <c:spPr>
        <a:noFill/>
        <a:ln>
          <a:noFill/>
        </a:ln>
        <a:effectLst/>
      </c:spPr>
    </c:plotArea>
    <c:legend>
      <c:legendPos val="r"/>
      <c:layout>
        <c:manualLayout>
          <c:xMode val="edge"/>
          <c:yMode val="edge"/>
          <c:x val="0"/>
          <c:y val="0.91645389803697597"/>
          <c:w val="1"/>
          <c:h val="7.9893257077056468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23650793650793"/>
          <c:y val="6.0981322963520594E-2"/>
          <c:w val="0.91865985966972652"/>
          <c:h val="0.70846217948717949"/>
        </c:manualLayout>
      </c:layout>
      <c:lineChart>
        <c:grouping val="standard"/>
        <c:varyColors val="0"/>
        <c:ser>
          <c:idx val="3"/>
          <c:order val="0"/>
          <c:tx>
            <c:strRef>
              <c:f>'COM_RT (f)'!$F$23</c:f>
              <c:strCache>
                <c:ptCount val="1"/>
                <c:pt idx="0">
                  <c:v>Discretionary target setting - ROE (commercial)</c:v>
                </c:pt>
              </c:strCache>
            </c:strRef>
          </c:tx>
          <c:spPr>
            <a:ln w="12700" cap="rnd">
              <a:solidFill>
                <a:schemeClr val="accent2"/>
              </a:solidFill>
              <a:round/>
            </a:ln>
            <a:effectLst/>
          </c:spPr>
          <c:marker>
            <c:symbol val="square"/>
            <c:size val="5"/>
            <c:spPr>
              <a:noFill/>
              <a:ln w="9525">
                <a:solidFill>
                  <a:schemeClr val="accent2"/>
                </a:solidFill>
              </a:ln>
              <a:effectLst/>
            </c:spPr>
          </c:marker>
          <c:dPt>
            <c:idx val="3"/>
            <c:marker>
              <c:symbol val="square"/>
              <c:size val="5"/>
              <c:spPr>
                <a:solidFill>
                  <a:schemeClr val="accent5"/>
                </a:solidFill>
                <a:ln w="9525">
                  <a:solidFill>
                    <a:schemeClr val="accent5"/>
                  </a:solidFill>
                </a:ln>
                <a:effectLst/>
              </c:spPr>
            </c:marker>
            <c:bubble3D val="0"/>
            <c:extLst>
              <c:ext xmlns:c16="http://schemas.microsoft.com/office/drawing/2014/chart" uri="{C3380CC4-5D6E-409C-BE32-E72D297353CC}">
                <c16:uniqueId val="{00000000-220F-4624-B9FC-2AE3595D00BA}"/>
              </c:ext>
            </c:extLst>
          </c:dPt>
          <c:dLbls>
            <c:dLbl>
              <c:idx val="0"/>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220F-4624-B9FC-2AE3595D00BA}"/>
                </c:ext>
              </c:extLst>
            </c:dLbl>
            <c:dLbl>
              <c:idx val="1"/>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220F-4624-B9FC-2AE3595D00BA}"/>
                </c:ext>
              </c:extLst>
            </c:dLbl>
            <c:dLbl>
              <c:idx val="2"/>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220F-4624-B9FC-2AE3595D00BA}"/>
                </c:ext>
              </c:extLst>
            </c:dLbl>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220F-4624-B9FC-2AE3595D00BA}"/>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220F-4624-B9FC-2AE3595D00BA}"/>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5-220F-4624-B9FC-2AE3595D00BA}"/>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6-220F-4624-B9FC-2AE3595D00BA}"/>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220F-4624-B9FC-2AE3595D00BA}"/>
                </c:ext>
              </c:extLst>
            </c:dLbl>
            <c:dLbl>
              <c:idx val="8"/>
              <c:delete val="1"/>
              <c:extLst>
                <c:ext xmlns:c15="http://schemas.microsoft.com/office/drawing/2012/chart" uri="{CE6537A1-D6FC-4f65-9D91-7224C49458BB}"/>
                <c:ext xmlns:c16="http://schemas.microsoft.com/office/drawing/2014/chart" uri="{C3380CC4-5D6E-409C-BE32-E72D297353CC}">
                  <c16:uniqueId val="{00000008-220F-4624-B9FC-2AE3595D00B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(f)'!$G$23:$O$23</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9-220F-4624-B9FC-2AE3595D00BA}"/>
            </c:ext>
          </c:extLst>
        </c:ser>
        <c:ser>
          <c:idx val="2"/>
          <c:order val="1"/>
          <c:tx>
            <c:strRef>
              <c:f>'COM_RT (f)'!$F$24</c:f>
              <c:strCache>
                <c:ptCount val="1"/>
                <c:pt idx="0">
                  <c:v> Linear/stepped approach - ROE (commercial)</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2"/>
                </a:solidFill>
                <a:prstDash val="sysDash"/>
                <a:round/>
              </a:ln>
              <a:effectLst/>
            </c:spPr>
            <c:extLst>
              <c:ext xmlns:c16="http://schemas.microsoft.com/office/drawing/2014/chart" uri="{C3380CC4-5D6E-409C-BE32-E72D297353CC}">
                <c16:uniqueId val="{0000000B-220F-4624-B9FC-2AE3595D00BA}"/>
              </c:ext>
            </c:extLst>
          </c:dPt>
          <c:dPt>
            <c:idx val="4"/>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C-220F-4624-B9FC-2AE3595D00BA}"/>
              </c:ext>
            </c:extLst>
          </c:dPt>
          <c:dPt>
            <c:idx val="5"/>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D-220F-4624-B9FC-2AE3595D00BA}"/>
              </c:ext>
            </c:extLst>
          </c:dPt>
          <c:dPt>
            <c:idx val="6"/>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E-220F-4624-B9FC-2AE3595D00BA}"/>
              </c:ext>
            </c:extLst>
          </c:dPt>
          <c:dPt>
            <c:idx val="7"/>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F-220F-4624-B9FC-2AE3595D00BA}"/>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dLblPos val="r"/>
              <c:showLegendKey val="0"/>
              <c:showVal val="1"/>
              <c:showCatName val="0"/>
              <c:showSerName val="0"/>
              <c:showPercent val="0"/>
              <c:showBubbleSize val="0"/>
              <c:extLst>
                <c:ext xmlns:c16="http://schemas.microsoft.com/office/drawing/2014/chart" uri="{C3380CC4-5D6E-409C-BE32-E72D297353CC}">
                  <c16:uniqueId val="{0000000B-220F-4624-B9FC-2AE3595D00BA}"/>
                </c:ext>
              </c:extLst>
            </c:dLbl>
            <c:dLbl>
              <c:idx val="8"/>
              <c:delete val="1"/>
              <c:extLst>
                <c:ext xmlns:c15="http://schemas.microsoft.com/office/drawing/2012/chart" uri="{CE6537A1-D6FC-4f65-9D91-7224C49458BB}"/>
                <c:ext xmlns:c16="http://schemas.microsoft.com/office/drawing/2014/chart" uri="{C3380CC4-5D6E-409C-BE32-E72D297353CC}">
                  <c16:uniqueId val="{00000010-220F-4624-B9FC-2AE3595D00B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(f)'!$G$24:$O$24</c:f>
              <c:numCache>
                <c:formatCode>0.00%</c:formatCode>
                <c:ptCount val="9"/>
                <c:pt idx="3">
                  <c:v>0</c:v>
                </c:pt>
                <c:pt idx="4">
                  <c:v>0</c:v>
                </c:pt>
                <c:pt idx="5">
                  <c:v>0</c:v>
                </c:pt>
                <c:pt idx="6">
                  <c:v>0</c:v>
                </c:pt>
                <c:pt idx="7">
                  <c:v>0</c:v>
                </c:pt>
                <c:pt idx="8" formatCode="0.0000%">
                  <c:v>0</c:v>
                </c:pt>
              </c:numCache>
            </c:numRef>
          </c:val>
          <c:smooth val="0"/>
          <c:extLst>
            <c:ext xmlns:c16="http://schemas.microsoft.com/office/drawing/2014/chart" uri="{C3380CC4-5D6E-409C-BE32-E72D297353CC}">
              <c16:uniqueId val="{00000011-220F-4624-B9FC-2AE3595D00BA}"/>
            </c:ext>
          </c:extLst>
        </c:ser>
        <c:ser>
          <c:idx val="1"/>
          <c:order val="2"/>
          <c:tx>
            <c:strRef>
              <c:f>'COM_RT (f)'!$F$25</c:f>
              <c:strCache>
                <c:ptCount val="1"/>
                <c:pt idx="0">
                  <c:v>Benchmark value (commercial) CY+5</c:v>
                </c:pt>
              </c:strCache>
            </c:strRef>
          </c:tx>
          <c:spPr>
            <a:ln w="25400" cap="rnd">
              <a:noFill/>
              <a:round/>
            </a:ln>
            <a:effectLst/>
          </c:spPr>
          <c:marker>
            <c:symbol val="square"/>
            <c:size val="5"/>
            <c:spPr>
              <a:solidFill>
                <a:schemeClr val="tx1">
                  <a:lumMod val="75000"/>
                  <a:lumOff val="25000"/>
                </a:schemeClr>
              </a:solidFill>
              <a:ln w="9525">
                <a:noFill/>
              </a:ln>
              <a:effectLst/>
            </c:spPr>
          </c:marker>
          <c:dLbls>
            <c:dLbl>
              <c:idx val="8"/>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12-220F-4624-B9FC-2AE3595D00BA}"/>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(f)'!$G$25:$O$25</c:f>
              <c:numCache>
                <c:formatCode>0.00%</c:formatCode>
                <c:ptCount val="9"/>
                <c:pt idx="8">
                  <c:v>0</c:v>
                </c:pt>
              </c:numCache>
            </c:numRef>
          </c:val>
          <c:smooth val="0"/>
          <c:extLst>
            <c:ext xmlns:c16="http://schemas.microsoft.com/office/drawing/2014/chart" uri="{C3380CC4-5D6E-409C-BE32-E72D297353CC}">
              <c16:uniqueId val="{00000013-220F-4624-B9FC-2AE3595D00BA}"/>
            </c:ext>
          </c:extLst>
        </c:ser>
        <c:ser>
          <c:idx val="4"/>
          <c:order val="3"/>
          <c:tx>
            <c:strRef>
              <c:f>'COM_RT (f)'!$F$27</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(f)'!$G$27:$O$27</c:f>
              <c:numCache>
                <c:formatCode>0.00%</c:formatCode>
                <c:ptCount val="9"/>
                <c:pt idx="8">
                  <c:v>0</c:v>
                </c:pt>
              </c:numCache>
            </c:numRef>
          </c:val>
          <c:smooth val="0"/>
          <c:extLst>
            <c:ext xmlns:c16="http://schemas.microsoft.com/office/drawing/2014/chart" uri="{C3380CC4-5D6E-409C-BE32-E72D297353CC}">
              <c16:uniqueId val="{00000014-220F-4624-B9FC-2AE3595D00BA}"/>
            </c:ext>
          </c:extLst>
        </c:ser>
        <c:ser>
          <c:idx val="0"/>
          <c:order val="4"/>
          <c:tx>
            <c:strRef>
              <c:f>'COM_RT (f)'!$F$26</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(f)'!$G$22:$O$22</c:f>
              <c:strCache>
                <c:ptCount val="9"/>
                <c:pt idx="0">
                  <c:v>CY-3</c:v>
                </c:pt>
                <c:pt idx="1">
                  <c:v>CY-2</c:v>
                </c:pt>
                <c:pt idx="2">
                  <c:v>CY-1</c:v>
                </c:pt>
                <c:pt idx="3">
                  <c:v>CY</c:v>
                </c:pt>
                <c:pt idx="4">
                  <c:v>CY+1</c:v>
                </c:pt>
                <c:pt idx="5">
                  <c:v>CY+2</c:v>
                </c:pt>
                <c:pt idx="6">
                  <c:v>CY+3</c:v>
                </c:pt>
                <c:pt idx="7">
                  <c:v>CY+4</c:v>
                </c:pt>
                <c:pt idx="8">
                  <c:v>CY+5</c:v>
                </c:pt>
              </c:strCache>
            </c:strRef>
          </c:cat>
          <c:val>
            <c:numRef>
              <c:f>'COM_RT (f)'!$G$26:$O$26</c:f>
              <c:numCache>
                <c:formatCode>0.00%</c:formatCode>
                <c:ptCount val="9"/>
                <c:pt idx="8">
                  <c:v>0</c:v>
                </c:pt>
              </c:numCache>
            </c:numRef>
          </c:val>
          <c:smooth val="0"/>
          <c:extLst>
            <c:ext xmlns:c16="http://schemas.microsoft.com/office/drawing/2014/chart" uri="{C3380CC4-5D6E-409C-BE32-E72D297353CC}">
              <c16:uniqueId val="{00000015-220F-4624-B9FC-2AE3595D00BA}"/>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850106837606841"/>
          <c:w val="0.98829521539165421"/>
          <c:h val="0.1560455128205128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185666847321037E-2"/>
          <c:y val="3.9512313505790632E-2"/>
          <c:w val="0.91865985966972652"/>
          <c:h val="0.72190310203540176"/>
        </c:manualLayout>
      </c:layout>
      <c:lineChart>
        <c:grouping val="standard"/>
        <c:varyColors val="0"/>
        <c:ser>
          <c:idx val="0"/>
          <c:order val="0"/>
          <c:tx>
            <c:strRef>
              <c:f>'COM_RT (f)'!$F$31</c:f>
              <c:strCache>
                <c:ptCount val="1"/>
                <c:pt idx="0">
                  <c:v>Discretionary target setting - ROE (regulated)</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FD56-4A69-BAF7-8917E71CD41B}"/>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FD56-4A69-BAF7-8917E71CD41B}"/>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FD56-4A69-BAF7-8917E71CD41B}"/>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FD56-4A69-BAF7-8917E71CD41B}"/>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FD56-4A69-BAF7-8917E71CD41B}"/>
                </c:ext>
              </c:extLst>
            </c:dLbl>
            <c:dLbl>
              <c:idx val="8"/>
              <c:delete val="1"/>
              <c:extLst>
                <c:ext xmlns:c15="http://schemas.microsoft.com/office/drawing/2012/chart" uri="{CE6537A1-D6FC-4f65-9D91-7224C49458BB}"/>
                <c:ext xmlns:c16="http://schemas.microsoft.com/office/drawing/2014/chart" uri="{C3380CC4-5D6E-409C-BE32-E72D297353CC}">
                  <c16:uniqueId val="{00000005-FD56-4A69-BAF7-8917E71CD41B}"/>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(f)'!$G$31:$O$31</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6-FD56-4A69-BAF7-8917E71CD41B}"/>
            </c:ext>
          </c:extLst>
        </c:ser>
        <c:ser>
          <c:idx val="1"/>
          <c:order val="1"/>
          <c:tx>
            <c:strRef>
              <c:f>'COM_RT (f)'!$F$32</c:f>
              <c:strCache>
                <c:ptCount val="1"/>
                <c:pt idx="0">
                  <c:v> Linear/stepped approach - ROE (regulated)</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x"/>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8-FD56-4A69-BAF7-8917E71CD41B}"/>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8-FD56-4A69-BAF7-8917E71CD41B}"/>
                </c:ext>
              </c:extLst>
            </c:dLbl>
            <c:dLbl>
              <c:idx val="8"/>
              <c:delete val="1"/>
              <c:extLst>
                <c:ext xmlns:c15="http://schemas.microsoft.com/office/drawing/2012/chart" uri="{CE6537A1-D6FC-4f65-9D91-7224C49458BB}"/>
                <c:ext xmlns:c16="http://schemas.microsoft.com/office/drawing/2014/chart" uri="{C3380CC4-5D6E-409C-BE32-E72D297353CC}">
                  <c16:uniqueId val="{00000009-FD56-4A69-BAF7-8917E71CD41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(f)'!$G$32:$O$32</c:f>
              <c:numCache>
                <c:formatCode>0.00%</c:formatCode>
                <c:ptCount val="9"/>
                <c:pt idx="3">
                  <c:v>0</c:v>
                </c:pt>
                <c:pt idx="4">
                  <c:v>0</c:v>
                </c:pt>
                <c:pt idx="5">
                  <c:v>0</c:v>
                </c:pt>
                <c:pt idx="6">
                  <c:v>0</c:v>
                </c:pt>
                <c:pt idx="7">
                  <c:v>0</c:v>
                </c:pt>
                <c:pt idx="8" formatCode="0.00">
                  <c:v>0</c:v>
                </c:pt>
              </c:numCache>
            </c:numRef>
          </c:val>
          <c:smooth val="0"/>
          <c:extLst>
            <c:ext xmlns:c16="http://schemas.microsoft.com/office/drawing/2014/chart" uri="{C3380CC4-5D6E-409C-BE32-E72D297353CC}">
              <c16:uniqueId val="{0000000A-FD56-4A69-BAF7-8917E71CD41B}"/>
            </c:ext>
          </c:extLst>
        </c:ser>
        <c:ser>
          <c:idx val="2"/>
          <c:order val="2"/>
          <c:tx>
            <c:strRef>
              <c:f>'COM_RT (f)'!$F$33</c:f>
              <c:strCache>
                <c:ptCount val="1"/>
                <c:pt idx="0">
                  <c:v>Benchmark value (regulated) CY+5</c:v>
                </c:pt>
              </c:strCache>
            </c:strRef>
          </c:tx>
          <c:spPr>
            <a:ln w="25400" cap="rnd">
              <a:noFill/>
              <a:round/>
            </a:ln>
            <a:effectLst/>
          </c:spPr>
          <c:marker>
            <c:symbol val="square"/>
            <c:size val="5"/>
            <c:spPr>
              <a:solidFill>
                <a:schemeClr val="tx1">
                  <a:lumMod val="75000"/>
                  <a:lumOff val="25000"/>
                </a:schemeClr>
              </a:solidFill>
              <a:ln w="9525">
                <a:noFill/>
              </a:ln>
              <a:effectLst/>
            </c:spPr>
          </c:marker>
          <c:dLbls>
            <c:dLbl>
              <c:idx val="8"/>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extLst>
                <c:ext xmlns:c16="http://schemas.microsoft.com/office/drawing/2014/chart" uri="{C3380CC4-5D6E-409C-BE32-E72D297353CC}">
                  <c16:uniqueId val="{0000000B-FD56-4A69-BAF7-8917E71CD41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(f)'!$G$33:$O$33</c:f>
              <c:numCache>
                <c:formatCode>0.00%</c:formatCode>
                <c:ptCount val="9"/>
                <c:pt idx="8">
                  <c:v>0</c:v>
                </c:pt>
              </c:numCache>
            </c:numRef>
          </c:val>
          <c:smooth val="0"/>
          <c:extLst>
            <c:ext xmlns:c16="http://schemas.microsoft.com/office/drawing/2014/chart" uri="{C3380CC4-5D6E-409C-BE32-E72D297353CC}">
              <c16:uniqueId val="{0000000C-FD56-4A69-BAF7-8917E71CD41B}"/>
            </c:ext>
          </c:extLst>
        </c:ser>
        <c:ser>
          <c:idx val="4"/>
          <c:order val="3"/>
          <c:tx>
            <c:strRef>
              <c:f>'COM_RT (f)'!$F$35</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(f)'!$G$35:$O$35</c:f>
              <c:numCache>
                <c:formatCode>0.00%</c:formatCode>
                <c:ptCount val="9"/>
                <c:pt idx="8">
                  <c:v>0</c:v>
                </c:pt>
              </c:numCache>
            </c:numRef>
          </c:val>
          <c:smooth val="0"/>
          <c:extLst>
            <c:ext xmlns:c16="http://schemas.microsoft.com/office/drawing/2014/chart" uri="{C3380CC4-5D6E-409C-BE32-E72D297353CC}">
              <c16:uniqueId val="{0000000D-FD56-4A69-BAF7-8917E71CD41B}"/>
            </c:ext>
          </c:extLst>
        </c:ser>
        <c:ser>
          <c:idx val="3"/>
          <c:order val="4"/>
          <c:tx>
            <c:strRef>
              <c:f>'COM_RT (f)'!$F$34</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(f)'!$G$34:$O$34</c:f>
              <c:numCache>
                <c:formatCode>0.00%</c:formatCode>
                <c:ptCount val="9"/>
                <c:pt idx="8">
                  <c:v>0</c:v>
                </c:pt>
              </c:numCache>
            </c:numRef>
          </c:val>
          <c:smooth val="0"/>
          <c:extLst>
            <c:ext xmlns:c16="http://schemas.microsoft.com/office/drawing/2014/chart" uri="{C3380CC4-5D6E-409C-BE32-E72D297353CC}">
              <c16:uniqueId val="{0000000E-FD56-4A69-BAF7-8917E71CD41B}"/>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ax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525327666757132"/>
          <c:w val="1"/>
          <c:h val="0.1642563778484291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03611230759329"/>
          <c:y val="4.480334858072979E-2"/>
          <c:w val="0.91865985966972652"/>
          <c:h val="0.71660320512820508"/>
        </c:manualLayout>
      </c:layout>
      <c:lineChart>
        <c:grouping val="standard"/>
        <c:varyColors val="0"/>
        <c:ser>
          <c:idx val="0"/>
          <c:order val="0"/>
          <c:tx>
            <c:strRef>
              <c:f>'COM_RT (f)'!$F$39</c:f>
              <c:strCache>
                <c:ptCount val="1"/>
                <c:pt idx="0">
                  <c:v>Discretionary target setting - ROE (state financed)</c:v>
                </c:pt>
              </c:strCache>
            </c:strRef>
          </c:tx>
          <c:spPr>
            <a:ln w="12700" cap="rnd">
              <a:solidFill>
                <a:schemeClr val="accent2"/>
              </a:solidFill>
              <a:round/>
            </a:ln>
            <a:effectLst/>
          </c:spPr>
          <c:marker>
            <c:symbol val="square"/>
            <c:size val="5"/>
            <c:spPr>
              <a:noFill/>
              <a:ln w="9525">
                <a:solidFill>
                  <a:schemeClr val="accent2"/>
                </a:solidFill>
              </a:ln>
              <a:effectLst/>
            </c:spPr>
          </c:marker>
          <c:dLbls>
            <c:dLbl>
              <c:idx val="3"/>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0-44A3-41E8-9C90-6BBD28A10C92}"/>
                </c:ext>
              </c:extLst>
            </c:dLbl>
            <c:dLbl>
              <c:idx val="4"/>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1-44A3-41E8-9C90-6BBD28A10C92}"/>
                </c:ext>
              </c:extLst>
            </c:dLbl>
            <c:dLbl>
              <c:idx val="5"/>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2-44A3-41E8-9C90-6BBD28A10C92}"/>
                </c:ext>
              </c:extLst>
            </c:dLbl>
            <c:dLbl>
              <c:idx val="6"/>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3-44A3-41E8-9C90-6BBD28A10C92}"/>
                </c:ext>
              </c:extLst>
            </c:dLbl>
            <c:dLbl>
              <c:idx val="7"/>
              <c:spPr>
                <a:solidFill>
                  <a:schemeClr val="accent4">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4-44A3-41E8-9C90-6BBD28A10C92}"/>
                </c:ext>
              </c:extLst>
            </c:dLbl>
            <c:dLbl>
              <c:idx val="8"/>
              <c:delete val="1"/>
              <c:extLst>
                <c:ext xmlns:c15="http://schemas.microsoft.com/office/drawing/2012/chart" uri="{CE6537A1-D6FC-4f65-9D91-7224C49458BB}"/>
                <c:ext xmlns:c16="http://schemas.microsoft.com/office/drawing/2014/chart" uri="{C3380CC4-5D6E-409C-BE32-E72D297353CC}">
                  <c16:uniqueId val="{00000005-44A3-41E8-9C90-6BBD28A10C92}"/>
                </c:ext>
              </c:extLst>
            </c:dLbl>
            <c:spPr>
              <a:solidFill>
                <a:schemeClr val="accent5">
                  <a:lumMod val="20000"/>
                  <a:lumOff val="80000"/>
                </a:scheme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(f)'!$G$39:$O$39</c:f>
              <c:numCache>
                <c:formatCode>0.00%</c:formatCode>
                <c:ptCount val="9"/>
                <c:pt idx="0">
                  <c:v>0</c:v>
                </c:pt>
                <c:pt idx="1">
                  <c:v>0</c:v>
                </c:pt>
                <c:pt idx="2">
                  <c:v>0</c:v>
                </c:pt>
                <c:pt idx="3">
                  <c:v>0</c:v>
                </c:pt>
                <c:pt idx="8" formatCode="0.0000%">
                  <c:v>0</c:v>
                </c:pt>
              </c:numCache>
            </c:numRef>
          </c:val>
          <c:smooth val="0"/>
          <c:extLst>
            <c:ext xmlns:c16="http://schemas.microsoft.com/office/drawing/2014/chart" uri="{C3380CC4-5D6E-409C-BE32-E72D297353CC}">
              <c16:uniqueId val="{00000006-44A3-41E8-9C90-6BBD28A10C92}"/>
            </c:ext>
          </c:extLst>
        </c:ser>
        <c:ser>
          <c:idx val="1"/>
          <c:order val="1"/>
          <c:tx>
            <c:strRef>
              <c:f>'COM_RT (f)'!$F$40</c:f>
              <c:strCache>
                <c:ptCount val="1"/>
                <c:pt idx="0">
                  <c:v> Linear/stepped approach - ROE (state financed)</c:v>
                </c:pt>
              </c:strCache>
            </c:strRef>
          </c:tx>
          <c:spPr>
            <a:ln w="12700" cap="rnd">
              <a:solidFill>
                <a:schemeClr val="accent2"/>
              </a:solidFill>
              <a:prstDash val="sysDash"/>
              <a:round/>
            </a:ln>
            <a:effectLst/>
          </c:spPr>
          <c:marker>
            <c:symbol val="square"/>
            <c:size val="5"/>
            <c:spPr>
              <a:solidFill>
                <a:schemeClr val="accent2"/>
              </a:solidFill>
              <a:ln w="9525">
                <a:solidFill>
                  <a:schemeClr val="accent2"/>
                </a:solidFill>
              </a:ln>
              <a:effectLst/>
            </c:spPr>
          </c:marker>
          <c:dPt>
            <c:idx val="3"/>
            <c:marker>
              <c:symbol val="square"/>
              <c:size val="5"/>
              <c:spPr>
                <a:solidFill>
                  <a:schemeClr val="accent5"/>
                </a:solidFill>
                <a:ln w="9525">
                  <a:solidFill>
                    <a:schemeClr val="accent5"/>
                  </a:solidFill>
                </a:ln>
                <a:effectLst/>
              </c:spPr>
            </c:marker>
            <c:bubble3D val="0"/>
            <c:spPr>
              <a:ln w="12700" cap="rnd">
                <a:solidFill>
                  <a:schemeClr val="accent5"/>
                </a:solidFill>
                <a:prstDash val="sysDash"/>
                <a:round/>
              </a:ln>
              <a:effectLst/>
            </c:spPr>
            <c:extLst>
              <c:ext xmlns:c16="http://schemas.microsoft.com/office/drawing/2014/chart" uri="{C3380CC4-5D6E-409C-BE32-E72D297353CC}">
                <c16:uniqueId val="{00000007-44A3-41E8-9C90-6BBD28A10C92}"/>
              </c:ext>
            </c:extLst>
          </c:dPt>
          <c:dPt>
            <c:idx val="4"/>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8-44A3-41E8-9C90-6BBD28A10C92}"/>
              </c:ext>
            </c:extLst>
          </c:dPt>
          <c:dPt>
            <c:idx val="5"/>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9-44A3-41E8-9C90-6BBD28A10C92}"/>
              </c:ext>
            </c:extLst>
          </c:dPt>
          <c:dPt>
            <c:idx val="6"/>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A-44A3-41E8-9C90-6BBD28A10C92}"/>
              </c:ext>
            </c:extLst>
          </c:dPt>
          <c:dPt>
            <c:idx val="7"/>
            <c:marker>
              <c:symbol val="square"/>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B-44A3-41E8-9C90-6BBD28A10C92}"/>
              </c:ext>
            </c:extLst>
          </c:dPt>
          <c:dLbls>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5"/>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extLst>
                <c:ext xmlns:c16="http://schemas.microsoft.com/office/drawing/2014/chart" uri="{C3380CC4-5D6E-409C-BE32-E72D297353CC}">
                  <c16:uniqueId val="{00000007-44A3-41E8-9C90-6BBD28A10C92}"/>
                </c:ext>
              </c:extLst>
            </c:dLbl>
            <c:dLbl>
              <c:idx val="8"/>
              <c:delete val="1"/>
              <c:extLst>
                <c:ext xmlns:c15="http://schemas.microsoft.com/office/drawing/2012/chart" uri="{CE6537A1-D6FC-4f65-9D91-7224C49458BB}"/>
                <c:ext xmlns:c16="http://schemas.microsoft.com/office/drawing/2014/chart" uri="{C3380CC4-5D6E-409C-BE32-E72D297353CC}">
                  <c16:uniqueId val="{0000000C-44A3-41E8-9C90-6BBD28A10C9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(f)'!$G$40:$O$40</c:f>
              <c:numCache>
                <c:formatCode>0.00%</c:formatCode>
                <c:ptCount val="9"/>
                <c:pt idx="3">
                  <c:v>0</c:v>
                </c:pt>
                <c:pt idx="4">
                  <c:v>0</c:v>
                </c:pt>
                <c:pt idx="5">
                  <c:v>0</c:v>
                </c:pt>
                <c:pt idx="6">
                  <c:v>0</c:v>
                </c:pt>
                <c:pt idx="7">
                  <c:v>0</c:v>
                </c:pt>
                <c:pt idx="8" formatCode="0.0000">
                  <c:v>0</c:v>
                </c:pt>
              </c:numCache>
            </c:numRef>
          </c:val>
          <c:smooth val="0"/>
          <c:extLst>
            <c:ext xmlns:c16="http://schemas.microsoft.com/office/drawing/2014/chart" uri="{C3380CC4-5D6E-409C-BE32-E72D297353CC}">
              <c16:uniqueId val="{0000000D-44A3-41E8-9C90-6BBD28A10C92}"/>
            </c:ext>
          </c:extLst>
        </c:ser>
        <c:ser>
          <c:idx val="2"/>
          <c:order val="2"/>
          <c:tx>
            <c:strRef>
              <c:f>'COM_RT (f)'!$F$41</c:f>
              <c:strCache>
                <c:ptCount val="1"/>
                <c:pt idx="0">
                  <c:v>Benchmark value (state financed) CY+5</c:v>
                </c:pt>
              </c:strCache>
            </c:strRef>
          </c:tx>
          <c:spPr>
            <a:ln w="25400" cap="rnd">
              <a:noFill/>
              <a:round/>
            </a:ln>
            <a:effectLst/>
          </c:spPr>
          <c:marker>
            <c:symbol val="square"/>
            <c:size val="5"/>
            <c:spPr>
              <a:solidFill>
                <a:schemeClr val="tx1">
                  <a:lumMod val="75000"/>
                  <a:lumOff val="25000"/>
                </a:schemeClr>
              </a:solidFill>
              <a:ln w="9525">
                <a:solidFill>
                  <a:schemeClr val="tx1">
                    <a:lumMod val="75000"/>
                    <a:lumOff val="25000"/>
                  </a:schemeClr>
                </a:solidFill>
              </a:ln>
              <a:effectLst/>
            </c:spPr>
          </c:marker>
          <c:dPt>
            <c:idx val="8"/>
            <c:marker>
              <c:symbol val="square"/>
              <c:size val="5"/>
              <c:spPr>
                <a:solidFill>
                  <a:schemeClr val="tx1">
                    <a:lumMod val="75000"/>
                    <a:lumOff val="25000"/>
                  </a:schemeClr>
                </a:solidFill>
                <a:ln w="9525">
                  <a:solidFill>
                    <a:schemeClr val="tx1">
                      <a:lumMod val="75000"/>
                      <a:lumOff val="25000"/>
                    </a:schemeClr>
                  </a:solidFill>
                </a:ln>
                <a:effectLst/>
              </c:spPr>
            </c:marker>
            <c:bubble3D val="0"/>
            <c:spPr>
              <a:ln w="25400" cap="rnd">
                <a:noFill/>
                <a:round/>
              </a:ln>
              <a:effectLst/>
            </c:spPr>
            <c:extLst>
              <c:ext xmlns:c16="http://schemas.microsoft.com/office/drawing/2014/chart" uri="{C3380CC4-5D6E-409C-BE32-E72D297353CC}">
                <c16:uniqueId val="{0000000F-44A3-41E8-9C90-6BBD28A10C92}"/>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2"/>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(f)'!$G$41:$O$41</c:f>
              <c:numCache>
                <c:formatCode>0.00%</c:formatCode>
                <c:ptCount val="9"/>
                <c:pt idx="8">
                  <c:v>0</c:v>
                </c:pt>
              </c:numCache>
            </c:numRef>
          </c:val>
          <c:smooth val="0"/>
          <c:extLst>
            <c:ext xmlns:c16="http://schemas.microsoft.com/office/drawing/2014/chart" uri="{C3380CC4-5D6E-409C-BE32-E72D297353CC}">
              <c16:uniqueId val="{00000010-44A3-41E8-9C90-6BBD28A10C92}"/>
            </c:ext>
          </c:extLst>
        </c:ser>
        <c:ser>
          <c:idx val="4"/>
          <c:order val="3"/>
          <c:tx>
            <c:strRef>
              <c:f>'COM_RT (f)'!$F$43</c:f>
              <c:strCache>
                <c:ptCount val="1"/>
                <c:pt idx="0">
                  <c:v>Acceptable deviation upper bracket according to CSCC guidelines</c:v>
                </c:pt>
              </c:strCache>
            </c:strRef>
          </c:tx>
          <c:spPr>
            <a:ln w="25400" cap="rnd">
              <a:noFill/>
              <a:round/>
            </a:ln>
            <a:effectLst/>
          </c:spPr>
          <c:marker>
            <c:symbol val="circle"/>
            <c:size val="5"/>
            <c:spPr>
              <a:solidFill>
                <a:schemeClr val="accent5"/>
              </a:solidFill>
              <a:ln w="9525">
                <a:solidFill>
                  <a:schemeClr val="accent5"/>
                </a:solidFill>
              </a:ln>
              <a:effectLst/>
            </c:spPr>
          </c:marker>
          <c:dLbls>
            <c:dLbl>
              <c:idx val="8"/>
              <c:layout>
                <c:manualLayout>
                  <c:x val="-6.0982567667255828E-2"/>
                  <c:y val="-1.3227510472126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4A3-41E8-9C90-6BBD28A10C9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(f)'!$G$43:$O$43</c:f>
              <c:numCache>
                <c:formatCode>0.00%</c:formatCode>
                <c:ptCount val="9"/>
                <c:pt idx="8">
                  <c:v>0</c:v>
                </c:pt>
              </c:numCache>
            </c:numRef>
          </c:val>
          <c:smooth val="0"/>
          <c:extLst>
            <c:ext xmlns:c16="http://schemas.microsoft.com/office/drawing/2014/chart" uri="{C3380CC4-5D6E-409C-BE32-E72D297353CC}">
              <c16:uniqueId val="{00000012-44A3-41E8-9C90-6BBD28A10C92}"/>
            </c:ext>
          </c:extLst>
        </c:ser>
        <c:ser>
          <c:idx val="3"/>
          <c:order val="4"/>
          <c:tx>
            <c:strRef>
              <c:f>'COM_RT (f)'!$F$42</c:f>
              <c:strCache>
                <c:ptCount val="1"/>
                <c:pt idx="0">
                  <c:v>Acceptable deviation lower bracket according to CSCC guidelines</c:v>
                </c:pt>
              </c:strCache>
            </c:strRef>
          </c:tx>
          <c:spPr>
            <a:ln w="25400"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'COM_RT (f)'!$G$30:$O$30</c:f>
              <c:strCache>
                <c:ptCount val="9"/>
                <c:pt idx="0">
                  <c:v>CY-3</c:v>
                </c:pt>
                <c:pt idx="1">
                  <c:v>CY-2</c:v>
                </c:pt>
                <c:pt idx="2">
                  <c:v>CY-1</c:v>
                </c:pt>
                <c:pt idx="3">
                  <c:v>CY</c:v>
                </c:pt>
                <c:pt idx="4">
                  <c:v>CY+1</c:v>
                </c:pt>
                <c:pt idx="5">
                  <c:v>CY+2</c:v>
                </c:pt>
                <c:pt idx="6">
                  <c:v>CY+3</c:v>
                </c:pt>
                <c:pt idx="7">
                  <c:v>CY+4</c:v>
                </c:pt>
                <c:pt idx="8">
                  <c:v>CY+5</c:v>
                </c:pt>
              </c:strCache>
            </c:strRef>
          </c:cat>
          <c:val>
            <c:numRef>
              <c:f>'COM_RT (f)'!$G$42:$O$42</c:f>
              <c:numCache>
                <c:formatCode>0.00%</c:formatCode>
                <c:ptCount val="9"/>
                <c:pt idx="8">
                  <c:v>0</c:v>
                </c:pt>
              </c:numCache>
            </c:numRef>
          </c:val>
          <c:smooth val="0"/>
          <c:extLst>
            <c:ext xmlns:c16="http://schemas.microsoft.com/office/drawing/2014/chart" uri="{C3380CC4-5D6E-409C-BE32-E72D297353CC}">
              <c16:uniqueId val="{00000013-44A3-41E8-9C90-6BBD28A10C92}"/>
            </c:ext>
          </c:extLst>
        </c:ser>
        <c:dLbls>
          <c:showLegendKey val="0"/>
          <c:showVal val="0"/>
          <c:showCatName val="0"/>
          <c:showSerName val="0"/>
          <c:showPercent val="0"/>
          <c:showBubbleSize val="0"/>
        </c:dLbls>
        <c:marker val="1"/>
        <c:smooth val="0"/>
        <c:axId val="1176862512"/>
        <c:axId val="1040545424"/>
      </c:lineChart>
      <c:catAx>
        <c:axId val="117686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040545424"/>
        <c:crosses val="autoZero"/>
        <c:auto val="1"/>
        <c:lblAlgn val="ctr"/>
        <c:lblOffset val="100"/>
        <c:noMultiLvlLbl val="0"/>
      </c:catAx>
      <c:valAx>
        <c:axId val="10405454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crossAx val="1176862512"/>
        <c:crosses val="autoZero"/>
        <c:crossBetween val="between"/>
      </c:valAx>
      <c:spPr>
        <a:noFill/>
        <a:ln>
          <a:noFill/>
        </a:ln>
        <a:effectLst/>
      </c:spPr>
    </c:plotArea>
    <c:legend>
      <c:legendPos val="r"/>
      <c:layout>
        <c:manualLayout>
          <c:xMode val="edge"/>
          <c:yMode val="edge"/>
          <c:x val="0"/>
          <c:y val="0.83329431278717281"/>
          <c:w val="1"/>
          <c:h val="0.166705585404827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chart" Target="../charts/chart31.xml"/><Relationship Id="rId4" Type="http://schemas.openxmlformats.org/officeDocument/2006/relationships/chart" Target="../charts/chart3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4" Type="http://schemas.openxmlformats.org/officeDocument/2006/relationships/chart" Target="../charts/chart3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 Id="rId5" Type="http://schemas.openxmlformats.org/officeDocument/2006/relationships/chart" Target="../charts/chart42.xml"/><Relationship Id="rId4" Type="http://schemas.openxmlformats.org/officeDocument/2006/relationships/chart" Target="../charts/chart4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1041</xdr:colOff>
      <xdr:row>13</xdr:row>
      <xdr:rowOff>145676</xdr:rowOff>
    </xdr:from>
    <xdr:to>
      <xdr:col>4</xdr:col>
      <xdr:colOff>257735</xdr:colOff>
      <xdr:row>32</xdr:row>
      <xdr:rowOff>179294</xdr:rowOff>
    </xdr:to>
    <xdr:sp macro="" textlink="">
      <xdr:nvSpPr>
        <xdr:cNvPr id="2" name="Flowchart: Alternate Process 1">
          <a:extLst>
            <a:ext uri="{FF2B5EF4-FFF2-40B4-BE49-F238E27FC236}">
              <a16:creationId xmlns:a16="http://schemas.microsoft.com/office/drawing/2014/main" id="{EA7C386D-347A-4B9C-A6D9-7DDBD0FD0438}"/>
            </a:ext>
          </a:extLst>
        </xdr:cNvPr>
        <xdr:cNvSpPr/>
      </xdr:nvSpPr>
      <xdr:spPr>
        <a:xfrm>
          <a:off x="606159" y="336176"/>
          <a:ext cx="2072047" cy="3653118"/>
        </a:xfrm>
        <a:prstGeom prst="flowChartAlternateProcess">
          <a:avLst/>
        </a:prstGeom>
        <a:solidFill>
          <a:srgbClr val="002060"/>
        </a:solidFill>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362351</xdr:colOff>
      <xdr:row>15</xdr:row>
      <xdr:rowOff>124946</xdr:rowOff>
    </xdr:from>
    <xdr:to>
      <xdr:col>3</xdr:col>
      <xdr:colOff>532440</xdr:colOff>
      <xdr:row>19</xdr:row>
      <xdr:rowOff>10646</xdr:rowOff>
    </xdr:to>
    <xdr:sp macro="" textlink="">
      <xdr:nvSpPr>
        <xdr:cNvPr id="3" name="Rectangle 2">
          <a:extLst>
            <a:ext uri="{FF2B5EF4-FFF2-40B4-BE49-F238E27FC236}">
              <a16:creationId xmlns:a16="http://schemas.microsoft.com/office/drawing/2014/main" id="{55035C30-D7D1-4A16-B249-EB53063782B9}"/>
            </a:ext>
          </a:extLst>
        </xdr:cNvPr>
        <xdr:cNvSpPr/>
      </xdr:nvSpPr>
      <xdr:spPr>
        <a:xfrm>
          <a:off x="967469" y="696446"/>
          <a:ext cx="1380324" cy="647700"/>
        </a:xfrm>
        <a:prstGeom prst="rect">
          <a:avLst/>
        </a:prstGeom>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Gaidu vēstule</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344020</xdr:colOff>
      <xdr:row>24</xdr:row>
      <xdr:rowOff>81804</xdr:rowOff>
    </xdr:from>
    <xdr:to>
      <xdr:col>3</xdr:col>
      <xdr:colOff>511388</xdr:colOff>
      <xdr:row>27</xdr:row>
      <xdr:rowOff>158004</xdr:rowOff>
    </xdr:to>
    <xdr:sp macro="" textlink="">
      <xdr:nvSpPr>
        <xdr:cNvPr id="4" name="Rectangle 3">
          <a:extLst>
            <a:ext uri="{FF2B5EF4-FFF2-40B4-BE49-F238E27FC236}">
              <a16:creationId xmlns:a16="http://schemas.microsoft.com/office/drawing/2014/main" id="{FADC672F-1685-4899-9279-F078AE4CF614}"/>
            </a:ext>
          </a:extLst>
        </xdr:cNvPr>
        <xdr:cNvSpPr/>
      </xdr:nvSpPr>
      <xdr:spPr>
        <a:xfrm>
          <a:off x="949138" y="2367804"/>
          <a:ext cx="1377603" cy="647700"/>
        </a:xfrm>
        <a:prstGeom prst="rect">
          <a:avLst/>
        </a:prstGeom>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200" b="1">
              <a:solidFill>
                <a:sysClr val="windowText" lastClr="000000"/>
              </a:solidFill>
              <a:latin typeface="Arial" panose="020B0604020202020204" pitchFamily="34" charset="0"/>
              <a:cs typeface="Arial" panose="020B0604020202020204" pitchFamily="34" charset="0"/>
            </a:rPr>
            <a:t>Salīdzināmie</a:t>
          </a:r>
          <a:r>
            <a:rPr lang="lv-LV" sz="1200" b="1" baseline="0">
              <a:solidFill>
                <a:sysClr val="windowText" lastClr="000000"/>
              </a:solidFill>
              <a:latin typeface="Arial" panose="020B0604020202020204" pitchFamily="34" charset="0"/>
              <a:cs typeface="Arial" panose="020B0604020202020204" pitchFamily="34" charset="0"/>
            </a:rPr>
            <a:t> uzņēmumi</a:t>
          </a:r>
          <a:endParaRPr lang="en-GB" sz="12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130309</xdr:colOff>
      <xdr:row>28</xdr:row>
      <xdr:rowOff>47064</xdr:rowOff>
    </xdr:from>
    <xdr:to>
      <xdr:col>4</xdr:col>
      <xdr:colOff>100853</xdr:colOff>
      <xdr:row>32</xdr:row>
      <xdr:rowOff>44824</xdr:rowOff>
    </xdr:to>
    <xdr:sp macro="" textlink="">
      <xdr:nvSpPr>
        <xdr:cNvPr id="5" name="TextBox 4">
          <a:extLst>
            <a:ext uri="{FF2B5EF4-FFF2-40B4-BE49-F238E27FC236}">
              <a16:creationId xmlns:a16="http://schemas.microsoft.com/office/drawing/2014/main" id="{598E37B9-77D8-4319-A1AC-40C4B816909A}"/>
            </a:ext>
          </a:extLst>
        </xdr:cNvPr>
        <xdr:cNvSpPr txBox="1"/>
      </xdr:nvSpPr>
      <xdr:spPr>
        <a:xfrm>
          <a:off x="735427" y="3095064"/>
          <a:ext cx="1785897" cy="75976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solidFill>
                <a:schemeClr val="bg1"/>
              </a:solidFill>
              <a:latin typeface="Arial" panose="020B0604020202020204" pitchFamily="34" charset="0"/>
              <a:cs typeface="Arial" panose="020B0604020202020204" pitchFamily="34" charset="0"/>
            </a:rPr>
            <a:t>Šo abu kombinācija ir</a:t>
          </a:r>
          <a:r>
            <a:rPr lang="lv-LV" sz="1050" baseline="0">
              <a:solidFill>
                <a:schemeClr val="bg1"/>
              </a:solidFill>
              <a:latin typeface="Arial" panose="020B0604020202020204" pitchFamily="34" charset="0"/>
              <a:cs typeface="Arial" panose="020B0604020202020204" pitchFamily="34" charset="0"/>
            </a:rPr>
            <a:t> VKS finansēšanas metodoloģijas virzītājs</a:t>
          </a:r>
          <a:endParaRPr lang="en-GB" sz="1050">
            <a:solidFill>
              <a:schemeClr val="bg1"/>
            </a:solidFill>
            <a:latin typeface="Arial" panose="020B0604020202020204" pitchFamily="34" charset="0"/>
            <a:cs typeface="Arial" panose="020B0604020202020204" pitchFamily="34" charset="0"/>
          </a:endParaRPr>
        </a:p>
      </xdr:txBody>
    </xdr:sp>
    <xdr:clientData/>
  </xdr:twoCellAnchor>
  <xdr:twoCellAnchor>
    <xdr:from>
      <xdr:col>2</xdr:col>
      <xdr:colOff>257297</xdr:colOff>
      <xdr:row>19</xdr:row>
      <xdr:rowOff>151319</xdr:rowOff>
    </xdr:from>
    <xdr:to>
      <xdr:col>2</xdr:col>
      <xdr:colOff>600197</xdr:colOff>
      <xdr:row>23</xdr:row>
      <xdr:rowOff>101934</xdr:rowOff>
    </xdr:to>
    <xdr:sp macro="" textlink="">
      <xdr:nvSpPr>
        <xdr:cNvPr id="6" name="Left-Right Arrow 5">
          <a:extLst>
            <a:ext uri="{FF2B5EF4-FFF2-40B4-BE49-F238E27FC236}">
              <a16:creationId xmlns:a16="http://schemas.microsoft.com/office/drawing/2014/main" id="{81391CBF-6EF3-47D7-83D3-5CD74B02A521}"/>
            </a:ext>
          </a:extLst>
        </xdr:cNvPr>
        <xdr:cNvSpPr/>
      </xdr:nvSpPr>
      <xdr:spPr>
        <a:xfrm rot="16200000">
          <a:off x="1282674" y="1669677"/>
          <a:ext cx="712615" cy="34290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326493</xdr:colOff>
      <xdr:row>22</xdr:row>
      <xdr:rowOff>47945</xdr:rowOff>
    </xdr:from>
    <xdr:to>
      <xdr:col>5</xdr:col>
      <xdr:colOff>92851</xdr:colOff>
      <xdr:row>23</xdr:row>
      <xdr:rowOff>189060</xdr:rowOff>
    </xdr:to>
    <xdr:sp macro="" textlink="">
      <xdr:nvSpPr>
        <xdr:cNvPr id="9" name="Down Arrow 8">
          <a:extLst>
            <a:ext uri="{FF2B5EF4-FFF2-40B4-BE49-F238E27FC236}">
              <a16:creationId xmlns:a16="http://schemas.microsoft.com/office/drawing/2014/main" id="{635DC902-9CE2-4EB6-A586-D4FF8DA54B2D}"/>
            </a:ext>
          </a:extLst>
        </xdr:cNvPr>
        <xdr:cNvSpPr/>
      </xdr:nvSpPr>
      <xdr:spPr>
        <a:xfrm rot="16200000">
          <a:off x="2766894" y="1933015"/>
          <a:ext cx="331615" cy="37147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180336</xdr:colOff>
      <xdr:row>13</xdr:row>
      <xdr:rowOff>145676</xdr:rowOff>
    </xdr:from>
    <xdr:to>
      <xdr:col>8</xdr:col>
      <xdr:colOff>437030</xdr:colOff>
      <xdr:row>32</xdr:row>
      <xdr:rowOff>179294</xdr:rowOff>
    </xdr:to>
    <xdr:sp macro="" textlink="">
      <xdr:nvSpPr>
        <xdr:cNvPr id="35" name="Flowchart: Alternate Process 34">
          <a:extLst>
            <a:ext uri="{FF2B5EF4-FFF2-40B4-BE49-F238E27FC236}">
              <a16:creationId xmlns:a16="http://schemas.microsoft.com/office/drawing/2014/main" id="{E88A26AB-2F24-4BED-ABAE-C6AE39657359}"/>
            </a:ext>
          </a:extLst>
        </xdr:cNvPr>
        <xdr:cNvSpPr/>
      </xdr:nvSpPr>
      <xdr:spPr>
        <a:xfrm>
          <a:off x="3205924" y="336176"/>
          <a:ext cx="2072047" cy="3653118"/>
        </a:xfrm>
        <a:prstGeom prst="flowChartAlternateProcess">
          <a:avLst/>
        </a:prstGeom>
        <a:solidFill>
          <a:srgbClr val="002060"/>
        </a:solidFill>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514591</xdr:colOff>
      <xdr:row>21</xdr:row>
      <xdr:rowOff>91889</xdr:rowOff>
    </xdr:from>
    <xdr:to>
      <xdr:col>8</xdr:col>
      <xdr:colOff>79562</xdr:colOff>
      <xdr:row>24</xdr:row>
      <xdr:rowOff>168089</xdr:rowOff>
    </xdr:to>
    <xdr:sp macro="" textlink="">
      <xdr:nvSpPr>
        <xdr:cNvPr id="8" name="Rectangle 7">
          <a:extLst>
            <a:ext uri="{FF2B5EF4-FFF2-40B4-BE49-F238E27FC236}">
              <a16:creationId xmlns:a16="http://schemas.microsoft.com/office/drawing/2014/main" id="{2D749520-07CF-4E5D-AB79-858C82F8F528}"/>
            </a:ext>
          </a:extLst>
        </xdr:cNvPr>
        <xdr:cNvSpPr/>
      </xdr:nvSpPr>
      <xdr:spPr>
        <a:xfrm>
          <a:off x="3540179" y="1806389"/>
          <a:ext cx="1380324" cy="647700"/>
        </a:xfrm>
        <a:prstGeom prst="rect">
          <a:avLst/>
        </a:prstGeom>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ysClr val="windowText" lastClr="000000"/>
              </a:solidFill>
              <a:latin typeface="Arial" panose="020B0604020202020204" pitchFamily="34" charset="0"/>
              <a:cs typeface="Arial" panose="020B0604020202020204" pitchFamily="34" charset="0"/>
            </a:rPr>
            <a:t>Metodolo</a:t>
          </a:r>
          <a:r>
            <a:rPr lang="lv-LV" sz="1400" b="1">
              <a:solidFill>
                <a:sysClr val="windowText" lastClr="000000"/>
              </a:solidFill>
              <a:latin typeface="Arial" panose="020B0604020202020204" pitchFamily="34" charset="0"/>
              <a:cs typeface="Arial" panose="020B0604020202020204" pitchFamily="34" charset="0"/>
            </a:rPr>
            <a:t>ģija</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505787</xdr:colOff>
      <xdr:row>22</xdr:row>
      <xdr:rowOff>47945</xdr:rowOff>
    </xdr:from>
    <xdr:to>
      <xdr:col>9</xdr:col>
      <xdr:colOff>272144</xdr:colOff>
      <xdr:row>23</xdr:row>
      <xdr:rowOff>189060</xdr:rowOff>
    </xdr:to>
    <xdr:sp macro="" textlink="">
      <xdr:nvSpPr>
        <xdr:cNvPr id="36" name="Down Arrow 8">
          <a:extLst>
            <a:ext uri="{FF2B5EF4-FFF2-40B4-BE49-F238E27FC236}">
              <a16:creationId xmlns:a16="http://schemas.microsoft.com/office/drawing/2014/main" id="{0B17EC9C-1A15-4A07-9F9C-1D0DC5E39BE6}"/>
            </a:ext>
          </a:extLst>
        </xdr:cNvPr>
        <xdr:cNvSpPr/>
      </xdr:nvSpPr>
      <xdr:spPr>
        <a:xfrm rot="16200000">
          <a:off x="5366658" y="1933015"/>
          <a:ext cx="331615" cy="37147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382042</xdr:colOff>
      <xdr:row>13</xdr:row>
      <xdr:rowOff>145676</xdr:rowOff>
    </xdr:from>
    <xdr:to>
      <xdr:col>16</xdr:col>
      <xdr:colOff>582706</xdr:colOff>
      <xdr:row>32</xdr:row>
      <xdr:rowOff>179294</xdr:rowOff>
    </xdr:to>
    <xdr:sp macro="" textlink="">
      <xdr:nvSpPr>
        <xdr:cNvPr id="38" name="Flowchart: Alternate Process 37">
          <a:extLst>
            <a:ext uri="{FF2B5EF4-FFF2-40B4-BE49-F238E27FC236}">
              <a16:creationId xmlns:a16="http://schemas.microsoft.com/office/drawing/2014/main" id="{DE275C57-5C2F-4D15-A48D-394422ED2742}"/>
            </a:ext>
          </a:extLst>
        </xdr:cNvPr>
        <xdr:cNvSpPr/>
      </xdr:nvSpPr>
      <xdr:spPr>
        <a:xfrm>
          <a:off x="5828101" y="336176"/>
          <a:ext cx="4436487" cy="3653118"/>
        </a:xfrm>
        <a:prstGeom prst="flowChartAlternateProcess">
          <a:avLst/>
        </a:prstGeom>
        <a:solidFill>
          <a:srgbClr val="002060"/>
        </a:solidFill>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lang="en-GB" sz="1100">
            <a:latin typeface="Arial" panose="020B0604020202020204" pitchFamily="34" charset="0"/>
            <a:cs typeface="Arial" panose="020B0604020202020204" pitchFamily="34" charset="0"/>
          </a:endParaRPr>
        </a:p>
      </xdr:txBody>
    </xdr:sp>
    <xdr:clientData/>
  </xdr:twoCellAnchor>
  <xdr:twoCellAnchor>
    <xdr:from>
      <xdr:col>9</xdr:col>
      <xdr:colOff>532121</xdr:colOff>
      <xdr:row>20</xdr:row>
      <xdr:rowOff>80682</xdr:rowOff>
    </xdr:from>
    <xdr:to>
      <xdr:col>12</xdr:col>
      <xdr:colOff>97092</xdr:colOff>
      <xdr:row>30</xdr:row>
      <xdr:rowOff>14006</xdr:rowOff>
    </xdr:to>
    <xdr:sp macro="" textlink="">
      <xdr:nvSpPr>
        <xdr:cNvPr id="12" name="Rectangle 11">
          <a:extLst>
            <a:ext uri="{FF2B5EF4-FFF2-40B4-BE49-F238E27FC236}">
              <a16:creationId xmlns:a16="http://schemas.microsoft.com/office/drawing/2014/main" id="{835170A2-BE5D-430A-AFFA-E8ABA43D7325}"/>
            </a:ext>
          </a:extLst>
        </xdr:cNvPr>
        <xdr:cNvSpPr/>
      </xdr:nvSpPr>
      <xdr:spPr>
        <a:xfrm>
          <a:off x="5978180" y="1604682"/>
          <a:ext cx="1380324" cy="1838324"/>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400" b="0" baseline="0">
              <a:solidFill>
                <a:sysClr val="windowText" lastClr="000000"/>
              </a:solidFill>
              <a:latin typeface="Arial" panose="020B0604020202020204" pitchFamily="34" charset="0"/>
              <a:ea typeface="+mn-ea"/>
              <a:cs typeface="Arial" panose="020B0604020202020204" pitchFamily="34" charset="0"/>
            </a:rPr>
            <a:t>Optimāla kapitāla struktūra</a:t>
          </a:r>
          <a:endParaRPr lang="en-GB" sz="1400" b="0" baseline="0">
            <a:solidFill>
              <a:sysClr val="windowText" lastClr="000000"/>
            </a:solidFill>
            <a:latin typeface="Arial" panose="020B0604020202020204" pitchFamily="34" charset="0"/>
            <a:ea typeface="+mn-ea"/>
            <a:cs typeface="Arial" panose="020B0604020202020204" pitchFamily="34" charset="0"/>
          </a:endParaRPr>
        </a:p>
        <a:p>
          <a:pPr algn="ctr"/>
          <a:endParaRPr lang="en-GB" sz="1400" b="0">
            <a:solidFill>
              <a:sysClr val="windowText" lastClr="000000"/>
            </a:solidFill>
            <a:latin typeface="Arial" panose="020B0604020202020204" pitchFamily="34" charset="0"/>
            <a:cs typeface="Arial" panose="020B0604020202020204" pitchFamily="34" charset="0"/>
          </a:endParaRPr>
        </a:p>
        <a:p>
          <a:pPr algn="ctr"/>
          <a:r>
            <a:rPr lang="en-GB" sz="1400" b="0">
              <a:solidFill>
                <a:sysClr val="windowText" lastClr="000000"/>
              </a:solidFill>
              <a:latin typeface="Arial" panose="020B0604020202020204" pitchFamily="34" charset="0"/>
              <a:cs typeface="Arial" panose="020B0604020202020204" pitchFamily="34" charset="0"/>
            </a:rPr>
            <a:t>ROE</a:t>
          </a:r>
          <a:r>
            <a:rPr lang="lv-LV" sz="1400" b="0">
              <a:solidFill>
                <a:sysClr val="windowText" lastClr="000000"/>
              </a:solidFill>
              <a:latin typeface="Arial" panose="020B0604020202020204" pitchFamily="34" charset="0"/>
              <a:cs typeface="Arial" panose="020B0604020202020204" pitchFamily="34" charset="0"/>
            </a:rPr>
            <a:t> (pašu</a:t>
          </a:r>
          <a:r>
            <a:rPr lang="lv-LV" sz="1400" b="0" baseline="0">
              <a:solidFill>
                <a:sysClr val="windowText" lastClr="000000"/>
              </a:solidFill>
              <a:latin typeface="Arial" panose="020B0604020202020204" pitchFamily="34" charset="0"/>
              <a:cs typeface="Arial" panose="020B0604020202020204" pitchFamily="34" charset="0"/>
            </a:rPr>
            <a:t> kapitāla atdeve)</a:t>
          </a:r>
          <a:endParaRPr lang="en-GB" sz="1400" b="0" baseline="0">
            <a:solidFill>
              <a:sysClr val="windowText" lastClr="000000"/>
            </a:solidFill>
            <a:latin typeface="Arial" panose="020B0604020202020204" pitchFamily="34" charset="0"/>
            <a:cs typeface="Arial" panose="020B0604020202020204" pitchFamily="34" charset="0"/>
          </a:endParaRPr>
        </a:p>
        <a:p>
          <a:pPr algn="ctr"/>
          <a:endParaRPr lang="en-GB" sz="1400" b="0" baseline="0">
            <a:solidFill>
              <a:sysClr val="windowText" lastClr="000000"/>
            </a:solidFill>
            <a:latin typeface="Arial" panose="020B0604020202020204" pitchFamily="34" charset="0"/>
            <a:cs typeface="Arial" panose="020B0604020202020204" pitchFamily="34" charset="0"/>
          </a:endParaRPr>
        </a:p>
        <a:p>
          <a:pPr algn="ctr"/>
          <a:r>
            <a:rPr lang="en-GB" sz="1400" b="0" baseline="0">
              <a:solidFill>
                <a:sysClr val="windowText" lastClr="000000"/>
              </a:solidFill>
              <a:latin typeface="Arial" panose="020B0604020202020204" pitchFamily="34" charset="0"/>
              <a:cs typeface="Arial" panose="020B0604020202020204" pitchFamily="34" charset="0"/>
            </a:rPr>
            <a:t>Div</a:t>
          </a:r>
          <a:r>
            <a:rPr lang="lv-LV" sz="1400" b="0" baseline="0">
              <a:solidFill>
                <a:sysClr val="windowText" lastClr="000000"/>
              </a:solidFill>
              <a:latin typeface="Arial" panose="020B0604020202020204" pitchFamily="34" charset="0"/>
              <a:cs typeface="Arial" panose="020B0604020202020204" pitchFamily="34" charset="0"/>
            </a:rPr>
            <a:t>idendes</a:t>
          </a:r>
          <a:endParaRPr lang="en-GB" sz="14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12</xdr:col>
      <xdr:colOff>87567</xdr:colOff>
      <xdr:row>20</xdr:row>
      <xdr:rowOff>80682</xdr:rowOff>
    </xdr:from>
    <xdr:to>
      <xdr:col>14</xdr:col>
      <xdr:colOff>254935</xdr:colOff>
      <xdr:row>30</xdr:row>
      <xdr:rowOff>14006</xdr:rowOff>
    </xdr:to>
    <xdr:sp macro="" textlink="">
      <xdr:nvSpPr>
        <xdr:cNvPr id="13" name="Rectangle 12">
          <a:extLst>
            <a:ext uri="{FF2B5EF4-FFF2-40B4-BE49-F238E27FC236}">
              <a16:creationId xmlns:a16="http://schemas.microsoft.com/office/drawing/2014/main" id="{B10D0EE6-E7FB-4D58-A9DF-0396EADAAD0B}"/>
            </a:ext>
          </a:extLst>
        </xdr:cNvPr>
        <xdr:cNvSpPr/>
      </xdr:nvSpPr>
      <xdr:spPr>
        <a:xfrm>
          <a:off x="7348979" y="1604682"/>
          <a:ext cx="1377603" cy="1838324"/>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0" baseline="0">
              <a:solidFill>
                <a:sysClr val="windowText" lastClr="000000"/>
              </a:solidFill>
              <a:latin typeface="Arial" panose="020B0604020202020204" pitchFamily="34" charset="0"/>
              <a:ea typeface="+mn-ea"/>
              <a:cs typeface="Arial" panose="020B0604020202020204" pitchFamily="34" charset="0"/>
            </a:rPr>
            <a:t>Atbilstoši padomes un valdes noteiktajam</a:t>
          </a:r>
          <a:endParaRPr lang="en-GB" sz="1400" b="0" baseline="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14</xdr:col>
      <xdr:colOff>245410</xdr:colOff>
      <xdr:row>20</xdr:row>
      <xdr:rowOff>80682</xdr:rowOff>
    </xdr:from>
    <xdr:to>
      <xdr:col>16</xdr:col>
      <xdr:colOff>400050</xdr:colOff>
      <xdr:row>30</xdr:row>
      <xdr:rowOff>14006</xdr:rowOff>
    </xdr:to>
    <xdr:sp macro="" textlink="">
      <xdr:nvSpPr>
        <xdr:cNvPr id="14" name="Rectangle 13">
          <a:extLst>
            <a:ext uri="{FF2B5EF4-FFF2-40B4-BE49-F238E27FC236}">
              <a16:creationId xmlns:a16="http://schemas.microsoft.com/office/drawing/2014/main" id="{AE975279-97A0-4AAD-B713-E3E0E3DBFAE5}"/>
            </a:ext>
          </a:extLst>
        </xdr:cNvPr>
        <xdr:cNvSpPr/>
      </xdr:nvSpPr>
      <xdr:spPr>
        <a:xfrm>
          <a:off x="8779810" y="2747682"/>
          <a:ext cx="1373840" cy="1838324"/>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400" b="1">
            <a:solidFill>
              <a:sysClr val="windowText" lastClr="000000"/>
            </a:solidFill>
            <a:latin typeface="Arial" panose="020B0604020202020204" pitchFamily="34" charset="0"/>
            <a:cs typeface="Arial" panose="020B0604020202020204" pitchFamily="34" charset="0"/>
          </a:endParaRPr>
        </a:p>
        <a:p>
          <a:pPr algn="ctr"/>
          <a:r>
            <a:rPr lang="lv-LV" sz="1400" b="0" baseline="0">
              <a:solidFill>
                <a:sysClr val="windowText" lastClr="000000"/>
              </a:solidFill>
              <a:latin typeface="Arial" panose="020B0604020202020204" pitchFamily="34" charset="0"/>
              <a:ea typeface="+mn-ea"/>
              <a:cs typeface="Arial" panose="020B0604020202020204" pitchFamily="34" charset="0"/>
            </a:rPr>
            <a:t>Atkarībā no VKS grupas/ segmentācijas</a:t>
          </a:r>
          <a:endParaRPr lang="en-GB" sz="1400" b="0" baseline="0">
            <a:solidFill>
              <a:sysClr val="windowText" lastClr="000000"/>
            </a:solidFill>
            <a:latin typeface="Arial" panose="020B0604020202020204" pitchFamily="34" charset="0"/>
            <a:ea typeface="+mn-ea"/>
            <a:cs typeface="Arial" panose="020B0604020202020204" pitchFamily="34" charset="0"/>
          </a:endParaRPr>
        </a:p>
        <a:p>
          <a:pPr algn="ctr"/>
          <a:endParaRPr lang="en-GB" sz="14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532121</xdr:colOff>
      <xdr:row>18</xdr:row>
      <xdr:rowOff>101411</xdr:rowOff>
    </xdr:from>
    <xdr:to>
      <xdr:col>12</xdr:col>
      <xdr:colOff>97092</xdr:colOff>
      <xdr:row>20</xdr:row>
      <xdr:rowOff>72836</xdr:rowOff>
    </xdr:to>
    <xdr:sp macro="" textlink="">
      <xdr:nvSpPr>
        <xdr:cNvPr id="15" name="Rectangle 14">
          <a:extLst>
            <a:ext uri="{FF2B5EF4-FFF2-40B4-BE49-F238E27FC236}">
              <a16:creationId xmlns:a16="http://schemas.microsoft.com/office/drawing/2014/main" id="{E7979087-A5E8-4762-9B94-643DF5C8E557}"/>
            </a:ext>
          </a:extLst>
        </xdr:cNvPr>
        <xdr:cNvSpPr/>
      </xdr:nvSpPr>
      <xdr:spPr>
        <a:xfrm>
          <a:off x="5978180" y="1244411"/>
          <a:ext cx="1380324" cy="352425"/>
        </a:xfrm>
        <a:prstGeom prst="rect">
          <a:avLst/>
        </a:prstGeom>
        <a:solidFill>
          <a:schemeClr val="accent3"/>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Rādītāji</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12</xdr:col>
      <xdr:colOff>87567</xdr:colOff>
      <xdr:row>18</xdr:row>
      <xdr:rowOff>104775</xdr:rowOff>
    </xdr:from>
    <xdr:to>
      <xdr:col>14</xdr:col>
      <xdr:colOff>254935</xdr:colOff>
      <xdr:row>20</xdr:row>
      <xdr:rowOff>71156</xdr:rowOff>
    </xdr:to>
    <xdr:sp macro="" textlink="">
      <xdr:nvSpPr>
        <xdr:cNvPr id="16" name="Rectangle 15">
          <a:extLst>
            <a:ext uri="{FF2B5EF4-FFF2-40B4-BE49-F238E27FC236}">
              <a16:creationId xmlns:a16="http://schemas.microsoft.com/office/drawing/2014/main" id="{106DA29B-A2B8-486B-BD7D-4E1991309AE8}"/>
            </a:ext>
          </a:extLst>
        </xdr:cNvPr>
        <xdr:cNvSpPr/>
      </xdr:nvSpPr>
      <xdr:spPr>
        <a:xfrm>
          <a:off x="7402767" y="2390775"/>
          <a:ext cx="1386568" cy="347381"/>
        </a:xfrm>
        <a:prstGeom prst="rect">
          <a:avLst/>
        </a:prstGeom>
        <a:solidFill>
          <a:schemeClr val="accent3"/>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Budžets</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14</xdr:col>
      <xdr:colOff>235885</xdr:colOff>
      <xdr:row>18</xdr:row>
      <xdr:rowOff>104775</xdr:rowOff>
    </xdr:from>
    <xdr:to>
      <xdr:col>16</xdr:col>
      <xdr:colOff>403253</xdr:colOff>
      <xdr:row>20</xdr:row>
      <xdr:rowOff>71156</xdr:rowOff>
    </xdr:to>
    <xdr:sp macro="" textlink="">
      <xdr:nvSpPr>
        <xdr:cNvPr id="17" name="Rectangle 16">
          <a:extLst>
            <a:ext uri="{FF2B5EF4-FFF2-40B4-BE49-F238E27FC236}">
              <a16:creationId xmlns:a16="http://schemas.microsoft.com/office/drawing/2014/main" id="{A44F0D1A-1A5F-4D54-BDE8-C9A86CDA83F4}"/>
            </a:ext>
          </a:extLst>
        </xdr:cNvPr>
        <xdr:cNvSpPr/>
      </xdr:nvSpPr>
      <xdr:spPr>
        <a:xfrm>
          <a:off x="8770285" y="2390775"/>
          <a:ext cx="1386568" cy="347381"/>
        </a:xfrm>
        <a:prstGeom prst="rect">
          <a:avLst/>
        </a:prstGeom>
        <a:solidFill>
          <a:schemeClr val="accent3"/>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Mērķi</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98853</xdr:colOff>
      <xdr:row>15</xdr:row>
      <xdr:rowOff>166407</xdr:rowOff>
    </xdr:from>
    <xdr:to>
      <xdr:col>15</xdr:col>
      <xdr:colOff>33539</xdr:colOff>
      <xdr:row>18</xdr:row>
      <xdr:rowOff>14007</xdr:rowOff>
    </xdr:to>
    <xdr:sp macro="" textlink="">
      <xdr:nvSpPr>
        <xdr:cNvPr id="18" name="Rectangle 17">
          <a:extLst>
            <a:ext uri="{FF2B5EF4-FFF2-40B4-BE49-F238E27FC236}">
              <a16:creationId xmlns:a16="http://schemas.microsoft.com/office/drawing/2014/main" id="{0CE2F6B6-B20D-4EBD-9CAE-4B5A79940C98}"/>
            </a:ext>
          </a:extLst>
        </xdr:cNvPr>
        <xdr:cNvSpPr/>
      </xdr:nvSpPr>
      <xdr:spPr>
        <a:xfrm>
          <a:off x="6755147" y="737907"/>
          <a:ext cx="2355157" cy="419100"/>
        </a:xfrm>
        <a:prstGeom prst="rect">
          <a:avLst/>
        </a:prstGeom>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Finanšu mērķu noteikšana</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17</xdr:col>
      <xdr:colOff>46346</xdr:colOff>
      <xdr:row>22</xdr:row>
      <xdr:rowOff>47945</xdr:rowOff>
    </xdr:from>
    <xdr:to>
      <xdr:col>17</xdr:col>
      <xdr:colOff>417821</xdr:colOff>
      <xdr:row>23</xdr:row>
      <xdr:rowOff>189060</xdr:rowOff>
    </xdr:to>
    <xdr:sp macro="" textlink="">
      <xdr:nvSpPr>
        <xdr:cNvPr id="40" name="Down Arrow 8">
          <a:extLst>
            <a:ext uri="{FF2B5EF4-FFF2-40B4-BE49-F238E27FC236}">
              <a16:creationId xmlns:a16="http://schemas.microsoft.com/office/drawing/2014/main" id="{9137E3D7-20C7-4BFA-AB24-5A72F3C2FEEE}"/>
            </a:ext>
          </a:extLst>
        </xdr:cNvPr>
        <xdr:cNvSpPr/>
      </xdr:nvSpPr>
      <xdr:spPr>
        <a:xfrm rot="16200000">
          <a:off x="10353276" y="1933015"/>
          <a:ext cx="331615" cy="37147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516513</xdr:colOff>
      <xdr:row>13</xdr:row>
      <xdr:rowOff>145676</xdr:rowOff>
    </xdr:from>
    <xdr:to>
      <xdr:col>28</xdr:col>
      <xdr:colOff>515471</xdr:colOff>
      <xdr:row>32</xdr:row>
      <xdr:rowOff>179294</xdr:rowOff>
    </xdr:to>
    <xdr:sp macro="" textlink="">
      <xdr:nvSpPr>
        <xdr:cNvPr id="41" name="Flowchart: Alternate Process 40">
          <a:extLst>
            <a:ext uri="{FF2B5EF4-FFF2-40B4-BE49-F238E27FC236}">
              <a16:creationId xmlns:a16="http://schemas.microsoft.com/office/drawing/2014/main" id="{02959C82-D4B3-4C89-8255-B728249053DF}"/>
            </a:ext>
          </a:extLst>
        </xdr:cNvPr>
        <xdr:cNvSpPr/>
      </xdr:nvSpPr>
      <xdr:spPr>
        <a:xfrm>
          <a:off x="10803513" y="336176"/>
          <a:ext cx="6655252" cy="3653118"/>
        </a:xfrm>
        <a:prstGeom prst="flowChartAlternateProcess">
          <a:avLst/>
        </a:prstGeom>
        <a:solidFill>
          <a:srgbClr val="002060"/>
        </a:solidFill>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lang="en-GB" sz="1100"/>
        </a:p>
      </xdr:txBody>
    </xdr:sp>
    <xdr:clientData/>
  </xdr:twoCellAnchor>
  <xdr:twoCellAnchor>
    <xdr:from>
      <xdr:col>20</xdr:col>
      <xdr:colOff>560616</xdr:colOff>
      <xdr:row>16</xdr:row>
      <xdr:rowOff>14567</xdr:rowOff>
    </xdr:from>
    <xdr:to>
      <xdr:col>25</xdr:col>
      <xdr:colOff>555174</xdr:colOff>
      <xdr:row>18</xdr:row>
      <xdr:rowOff>52667</xdr:rowOff>
    </xdr:to>
    <xdr:sp macro="" textlink="">
      <xdr:nvSpPr>
        <xdr:cNvPr id="20" name="Rectangle 19">
          <a:extLst>
            <a:ext uri="{FF2B5EF4-FFF2-40B4-BE49-F238E27FC236}">
              <a16:creationId xmlns:a16="http://schemas.microsoft.com/office/drawing/2014/main" id="{2FD2EA92-D366-4E53-B7E2-B4EF93E829CB}"/>
            </a:ext>
          </a:extLst>
        </xdr:cNvPr>
        <xdr:cNvSpPr/>
      </xdr:nvSpPr>
      <xdr:spPr>
        <a:xfrm>
          <a:off x="12662969" y="776567"/>
          <a:ext cx="3020146" cy="419100"/>
        </a:xfrm>
        <a:prstGeom prst="rect">
          <a:avLst/>
        </a:prstGeom>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Finanšu mērķu noteikšana </a:t>
          </a:r>
          <a:r>
            <a:rPr lang="en-GB" sz="1400" b="1">
              <a:solidFill>
                <a:sysClr val="windowText" lastClr="000000"/>
              </a:solidFill>
              <a:latin typeface="Arial" panose="020B0604020202020204" pitchFamily="34" charset="0"/>
              <a:cs typeface="Arial" panose="020B0604020202020204" pitchFamily="34" charset="0"/>
            </a:rPr>
            <a:t>- deta</a:t>
          </a:r>
          <a:r>
            <a:rPr lang="lv-LV" sz="1400" b="1">
              <a:solidFill>
                <a:sysClr val="windowText" lastClr="000000"/>
              </a:solidFill>
              <a:latin typeface="Arial" panose="020B0604020202020204" pitchFamily="34" charset="0"/>
              <a:cs typeface="Arial" panose="020B0604020202020204" pitchFamily="34" charset="0"/>
            </a:rPr>
            <a:t>ļas</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18</xdr:col>
      <xdr:colOff>136073</xdr:colOff>
      <xdr:row>20</xdr:row>
      <xdr:rowOff>109817</xdr:rowOff>
    </xdr:from>
    <xdr:to>
      <xdr:col>20</xdr:col>
      <xdr:colOff>465365</xdr:colOff>
      <xdr:row>30</xdr:row>
      <xdr:rowOff>43141</xdr:rowOff>
    </xdr:to>
    <xdr:sp macro="" textlink="">
      <xdr:nvSpPr>
        <xdr:cNvPr id="21" name="Rectangle 20">
          <a:extLst>
            <a:ext uri="{FF2B5EF4-FFF2-40B4-BE49-F238E27FC236}">
              <a16:creationId xmlns:a16="http://schemas.microsoft.com/office/drawing/2014/main" id="{6D3F69B9-AB97-4D47-BD6C-F5F5EBBA66D1}"/>
            </a:ext>
          </a:extLst>
        </xdr:cNvPr>
        <xdr:cNvSpPr/>
      </xdr:nvSpPr>
      <xdr:spPr>
        <a:xfrm>
          <a:off x="11028191" y="1633817"/>
          <a:ext cx="1539527" cy="1838324"/>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200" b="0" baseline="0">
              <a:solidFill>
                <a:sysClr val="windowText" lastClr="000000"/>
              </a:solidFill>
              <a:latin typeface="Arial" panose="020B0604020202020204" pitchFamily="34" charset="0"/>
              <a:ea typeface="+mn-ea"/>
              <a:cs typeface="Arial" panose="020B0604020202020204" pitchFamily="34" charset="0"/>
            </a:rPr>
            <a:t>Izstrādāts ar mērķi sasniegt izvirzītos finanšu mērķus un akcionāra gaidas</a:t>
          </a:r>
          <a:endParaRPr lang="en-GB" sz="1200" b="0" baseline="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18</xdr:col>
      <xdr:colOff>136074</xdr:colOff>
      <xdr:row>18</xdr:row>
      <xdr:rowOff>128866</xdr:rowOff>
    </xdr:from>
    <xdr:to>
      <xdr:col>20</xdr:col>
      <xdr:colOff>474891</xdr:colOff>
      <xdr:row>20</xdr:row>
      <xdr:rowOff>100291</xdr:rowOff>
    </xdr:to>
    <xdr:sp macro="" textlink="">
      <xdr:nvSpPr>
        <xdr:cNvPr id="22" name="Rectangle 21">
          <a:extLst>
            <a:ext uri="{FF2B5EF4-FFF2-40B4-BE49-F238E27FC236}">
              <a16:creationId xmlns:a16="http://schemas.microsoft.com/office/drawing/2014/main" id="{24CF6D6A-EF76-441C-B0B8-8E23ABCCA2D9}"/>
            </a:ext>
          </a:extLst>
        </xdr:cNvPr>
        <xdr:cNvSpPr/>
      </xdr:nvSpPr>
      <xdr:spPr>
        <a:xfrm>
          <a:off x="11028192" y="1271866"/>
          <a:ext cx="1549052" cy="352425"/>
        </a:xfrm>
        <a:prstGeom prst="rect">
          <a:avLst/>
        </a:prstGeom>
        <a:solidFill>
          <a:schemeClr val="accent3"/>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ysClr val="windowText" lastClr="000000"/>
              </a:solidFill>
              <a:latin typeface="Arial" panose="020B0604020202020204" pitchFamily="34" charset="0"/>
              <a:cs typeface="Arial" panose="020B0604020202020204" pitchFamily="34" charset="0"/>
            </a:rPr>
            <a:t>Bud</a:t>
          </a:r>
          <a:r>
            <a:rPr lang="lv-LV" sz="1400" b="1">
              <a:solidFill>
                <a:sysClr val="windowText" lastClr="000000"/>
              </a:solidFill>
              <a:latin typeface="Arial" panose="020B0604020202020204" pitchFamily="34" charset="0"/>
              <a:cs typeface="Arial" panose="020B0604020202020204" pitchFamily="34" charset="0"/>
            </a:rPr>
            <a:t>žets</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20</xdr:col>
      <xdr:colOff>474892</xdr:colOff>
      <xdr:row>20</xdr:row>
      <xdr:rowOff>112059</xdr:rowOff>
    </xdr:from>
    <xdr:to>
      <xdr:col>26</xdr:col>
      <xdr:colOff>47967</xdr:colOff>
      <xdr:row>30</xdr:row>
      <xdr:rowOff>44824</xdr:rowOff>
    </xdr:to>
    <xdr:sp macro="" textlink="">
      <xdr:nvSpPr>
        <xdr:cNvPr id="24" name="Rectangle 23">
          <a:extLst>
            <a:ext uri="{FF2B5EF4-FFF2-40B4-BE49-F238E27FC236}">
              <a16:creationId xmlns:a16="http://schemas.microsoft.com/office/drawing/2014/main" id="{2EB99323-BCF3-4941-B215-99ACDE3577CB}"/>
            </a:ext>
          </a:extLst>
        </xdr:cNvPr>
        <xdr:cNvSpPr/>
      </xdr:nvSpPr>
      <xdr:spPr>
        <a:xfrm>
          <a:off x="12577245" y="1636059"/>
          <a:ext cx="3203781" cy="1837765"/>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lv-LV" sz="1200" b="1" u="sng" baseline="0">
              <a:solidFill>
                <a:sysClr val="windowText" lastClr="000000"/>
              </a:solidFill>
              <a:latin typeface="Arial" panose="020B0604020202020204" pitchFamily="34" charset="0"/>
              <a:ea typeface="+mn-ea"/>
              <a:cs typeface="Arial" panose="020B0604020202020204" pitchFamily="34" charset="0"/>
            </a:rPr>
            <a:t>Komerciālas VKS</a:t>
          </a:r>
          <a:endParaRPr lang="en-GB" sz="1200" b="1" u="sng" baseline="0">
            <a:solidFill>
              <a:sysClr val="windowText" lastClr="000000"/>
            </a:solidFill>
            <a:latin typeface="Arial" panose="020B0604020202020204" pitchFamily="34" charset="0"/>
            <a:ea typeface="+mn-ea"/>
            <a:cs typeface="Arial" panose="020B0604020202020204" pitchFamily="34" charset="0"/>
          </a:endParaRPr>
        </a:p>
        <a:p>
          <a:pPr algn="l"/>
          <a:endParaRPr lang="en-GB" sz="100" b="1" u="sng" baseline="0">
            <a:solidFill>
              <a:sysClr val="windowText" lastClr="000000"/>
            </a:solidFill>
            <a:latin typeface="Arial" panose="020B0604020202020204" pitchFamily="34" charset="0"/>
            <a:ea typeface="+mn-ea"/>
            <a:cs typeface="Arial" panose="020B0604020202020204" pitchFamily="34" charset="0"/>
          </a:endParaRPr>
        </a:p>
        <a:p>
          <a:pPr algn="l"/>
          <a:r>
            <a:rPr lang="en-GB" sz="1100" b="1" u="none" baseline="0">
              <a:solidFill>
                <a:sysClr val="windowText" lastClr="000000"/>
              </a:solidFill>
              <a:latin typeface="Arial" panose="020B0604020202020204" pitchFamily="34" charset="0"/>
              <a:ea typeface="+mn-ea"/>
              <a:cs typeface="Arial" panose="020B0604020202020204" pitchFamily="34" charset="0"/>
            </a:rPr>
            <a:t>Opt</a:t>
          </a:r>
          <a:r>
            <a:rPr lang="lv-LV" sz="1100" b="1" u="none" baseline="0">
              <a:solidFill>
                <a:sysClr val="windowText" lastClr="000000"/>
              </a:solidFill>
              <a:latin typeface="Arial" panose="020B0604020202020204" pitchFamily="34" charset="0"/>
              <a:ea typeface="+mn-ea"/>
              <a:cs typeface="Arial" panose="020B0604020202020204" pitchFamily="34" charset="0"/>
            </a:rPr>
            <a:t>imāla kapitāla struktūra</a:t>
          </a:r>
          <a:r>
            <a:rPr lang="en-GB" sz="1100" b="1" u="none" baseline="0">
              <a:solidFill>
                <a:sysClr val="windowText" lastClr="000000"/>
              </a:solidFill>
              <a:latin typeface="Arial" panose="020B0604020202020204" pitchFamily="34" charset="0"/>
              <a:ea typeface="+mn-ea"/>
              <a:cs typeface="Arial" panose="020B0604020202020204" pitchFamily="34" charset="0"/>
            </a:rPr>
            <a:t> - </a:t>
          </a:r>
          <a:r>
            <a:rPr lang="lv-LV" sz="1100" b="0" u="none" baseline="0">
              <a:solidFill>
                <a:sysClr val="windowText" lastClr="000000"/>
              </a:solidFill>
              <a:latin typeface="Arial" panose="020B0604020202020204" pitchFamily="34" charset="0"/>
              <a:ea typeface="+mn-ea"/>
              <a:cs typeface="Arial" panose="020B0604020202020204" pitchFamily="34" charset="0"/>
            </a:rPr>
            <a:t>balstīts uz saistību seguma rādītājiem investīciju līmeņa sasniegšanai</a:t>
          </a:r>
          <a:endParaRPr lang="en-GB" sz="1100" b="0" u="none" baseline="0">
            <a:solidFill>
              <a:sysClr val="windowText" lastClr="000000"/>
            </a:solidFill>
            <a:latin typeface="Arial" panose="020B0604020202020204" pitchFamily="34" charset="0"/>
            <a:ea typeface="+mn-ea"/>
            <a:cs typeface="Arial" panose="020B0604020202020204" pitchFamily="34" charset="0"/>
          </a:endParaRPr>
        </a:p>
        <a:p>
          <a:pPr algn="l"/>
          <a:r>
            <a:rPr lang="en-GB" sz="1100" b="1" u="none" baseline="0">
              <a:solidFill>
                <a:sysClr val="windowText" lastClr="000000"/>
              </a:solidFill>
              <a:latin typeface="Arial" panose="020B0604020202020204" pitchFamily="34" charset="0"/>
              <a:ea typeface="+mn-ea"/>
              <a:cs typeface="Arial" panose="020B0604020202020204" pitchFamily="34" charset="0"/>
            </a:rPr>
            <a:t>ROE - </a:t>
          </a:r>
          <a:r>
            <a:rPr lang="lv-LV" sz="1100" b="0" u="none" baseline="0">
              <a:solidFill>
                <a:sysClr val="windowText" lastClr="000000"/>
              </a:solidFill>
              <a:latin typeface="Arial" panose="020B0604020202020204" pitchFamily="34" charset="0"/>
              <a:ea typeface="+mn-ea"/>
              <a:cs typeface="Arial" panose="020B0604020202020204" pitchFamily="34" charset="0"/>
            </a:rPr>
            <a:t>balstīts uz nozares vidējo un salīdzināmo uzņēmumu grupu</a:t>
          </a:r>
          <a:endParaRPr lang="en-GB" sz="1100" b="0" u="none" baseline="0">
            <a:solidFill>
              <a:sysClr val="windowText" lastClr="000000"/>
            </a:solidFill>
            <a:latin typeface="Arial" panose="020B0604020202020204" pitchFamily="34" charset="0"/>
            <a:ea typeface="+mn-ea"/>
            <a:cs typeface="Arial" panose="020B0604020202020204" pitchFamily="34" charset="0"/>
          </a:endParaRPr>
        </a:p>
        <a:p>
          <a:pPr algn="l"/>
          <a:r>
            <a:rPr lang="en-GB" sz="1100" b="1" u="none" baseline="0">
              <a:solidFill>
                <a:sysClr val="windowText" lastClr="000000"/>
              </a:solidFill>
              <a:latin typeface="Arial" panose="020B0604020202020204" pitchFamily="34" charset="0"/>
              <a:ea typeface="+mn-ea"/>
              <a:cs typeface="Arial" panose="020B0604020202020204" pitchFamily="34" charset="0"/>
            </a:rPr>
            <a:t>Div</a:t>
          </a:r>
          <a:r>
            <a:rPr lang="lv-LV" sz="1100" b="1" u="none" baseline="0">
              <a:solidFill>
                <a:sysClr val="windowText" lastClr="000000"/>
              </a:solidFill>
              <a:latin typeface="Arial" panose="020B0604020202020204" pitchFamily="34" charset="0"/>
              <a:ea typeface="+mn-ea"/>
              <a:cs typeface="Arial" panose="020B0604020202020204" pitchFamily="34" charset="0"/>
            </a:rPr>
            <a:t>idenžu izmaksa</a:t>
          </a:r>
          <a:r>
            <a:rPr lang="en-GB" sz="1100" b="1" u="none" baseline="0">
              <a:solidFill>
                <a:sysClr val="windowText" lastClr="000000"/>
              </a:solidFill>
              <a:latin typeface="Arial" panose="020B0604020202020204" pitchFamily="34" charset="0"/>
              <a:ea typeface="+mn-ea"/>
              <a:cs typeface="Arial" panose="020B0604020202020204" pitchFamily="34" charset="0"/>
            </a:rPr>
            <a:t> - </a:t>
          </a:r>
          <a:r>
            <a:rPr lang="lv-LV" sz="1100" b="0" u="none" baseline="0">
              <a:solidFill>
                <a:sysClr val="windowText" lastClr="000000"/>
              </a:solidFill>
              <a:latin typeface="Arial" panose="020B0604020202020204" pitchFamily="34" charset="0"/>
              <a:ea typeface="+mn-ea"/>
              <a:cs typeface="Arial" panose="020B0604020202020204" pitchFamily="34" charset="0"/>
            </a:rPr>
            <a:t>balstīts uz nozares vidējo un salīdzināmo uzņēmumu grupu, saglabājot investīciju līmeņa kredītreitingu</a:t>
          </a:r>
        </a:p>
        <a:p>
          <a:pPr algn="l"/>
          <a:endParaRPr lang="en-GB" sz="1100" b="0" u="none" baseline="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20</xdr:col>
      <xdr:colOff>474891</xdr:colOff>
      <xdr:row>18</xdr:row>
      <xdr:rowOff>128866</xdr:rowOff>
    </xdr:from>
    <xdr:to>
      <xdr:col>28</xdr:col>
      <xdr:colOff>325212</xdr:colOff>
      <xdr:row>20</xdr:row>
      <xdr:rowOff>100291</xdr:rowOff>
    </xdr:to>
    <xdr:sp macro="" textlink="">
      <xdr:nvSpPr>
        <xdr:cNvPr id="25" name="Rectangle 24">
          <a:extLst>
            <a:ext uri="{FF2B5EF4-FFF2-40B4-BE49-F238E27FC236}">
              <a16:creationId xmlns:a16="http://schemas.microsoft.com/office/drawing/2014/main" id="{8233D4BE-033B-43FB-BA2D-029D5C7ABBA0}"/>
            </a:ext>
          </a:extLst>
        </xdr:cNvPr>
        <xdr:cNvSpPr/>
      </xdr:nvSpPr>
      <xdr:spPr>
        <a:xfrm>
          <a:off x="12577244" y="1271866"/>
          <a:ext cx="4691262" cy="352425"/>
        </a:xfrm>
        <a:prstGeom prst="rect">
          <a:avLst/>
        </a:prstGeom>
        <a:solidFill>
          <a:schemeClr val="accent3"/>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Finanšu</a:t>
          </a:r>
          <a:r>
            <a:rPr lang="lv-LV" sz="1400" b="1" baseline="0">
              <a:solidFill>
                <a:sysClr val="windowText" lastClr="000000"/>
              </a:solidFill>
              <a:latin typeface="Arial" panose="020B0604020202020204" pitchFamily="34" charset="0"/>
              <a:cs typeface="Arial" panose="020B0604020202020204" pitchFamily="34" charset="0"/>
            </a:rPr>
            <a:t> mērķi</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26</xdr:col>
      <xdr:colOff>31298</xdr:colOff>
      <xdr:row>20</xdr:row>
      <xdr:rowOff>119342</xdr:rowOff>
    </xdr:from>
    <xdr:to>
      <xdr:col>28</xdr:col>
      <xdr:colOff>296638</xdr:colOff>
      <xdr:row>30</xdr:row>
      <xdr:rowOff>44824</xdr:rowOff>
    </xdr:to>
    <xdr:sp macro="" textlink="">
      <xdr:nvSpPr>
        <xdr:cNvPr id="26" name="Rectangle 25">
          <a:extLst>
            <a:ext uri="{FF2B5EF4-FFF2-40B4-BE49-F238E27FC236}">
              <a16:creationId xmlns:a16="http://schemas.microsoft.com/office/drawing/2014/main" id="{51472F3C-C932-4345-A77C-7F7AE4C26154}"/>
            </a:ext>
          </a:extLst>
        </xdr:cNvPr>
        <xdr:cNvSpPr/>
      </xdr:nvSpPr>
      <xdr:spPr>
        <a:xfrm>
          <a:off x="15764357" y="1643342"/>
          <a:ext cx="1475575" cy="1830482"/>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lv-LV" sz="1200" b="1" u="sng" baseline="0">
              <a:solidFill>
                <a:sysClr val="windowText" lastClr="000000"/>
              </a:solidFill>
              <a:latin typeface="Arial" panose="020B0604020202020204" pitchFamily="34" charset="0"/>
              <a:ea typeface="+mn-ea"/>
              <a:cs typeface="Arial" panose="020B0604020202020204" pitchFamily="34" charset="0"/>
            </a:rPr>
            <a:t>No valsts atkarīgas komerciālas VKS</a:t>
          </a:r>
          <a:endParaRPr lang="en-GB" sz="1200" b="1" u="sng" baseline="0">
            <a:solidFill>
              <a:sysClr val="windowText" lastClr="000000"/>
            </a:solidFill>
            <a:latin typeface="Arial" panose="020B0604020202020204" pitchFamily="34" charset="0"/>
            <a:ea typeface="+mn-ea"/>
            <a:cs typeface="Arial" panose="020B0604020202020204" pitchFamily="34" charset="0"/>
          </a:endParaRPr>
        </a:p>
        <a:p>
          <a:pPr algn="l"/>
          <a:endParaRPr lang="en-GB" sz="200" b="1" u="sng" baseline="0">
            <a:solidFill>
              <a:sysClr val="windowText" lastClr="000000"/>
            </a:solidFill>
            <a:latin typeface="Arial" panose="020B0604020202020204" pitchFamily="34" charset="0"/>
            <a:ea typeface="+mn-ea"/>
            <a:cs typeface="Arial" panose="020B0604020202020204" pitchFamily="34" charset="0"/>
          </a:endParaRPr>
        </a:p>
        <a:p>
          <a:r>
            <a:rPr lang="en-GB" sz="1100" b="1" u="none" baseline="0">
              <a:solidFill>
                <a:sysClr val="windowText" lastClr="000000"/>
              </a:solidFill>
              <a:latin typeface="Arial" panose="020B0604020202020204" pitchFamily="34" charset="0"/>
              <a:ea typeface="+mn-ea"/>
              <a:cs typeface="Arial" panose="020B0604020202020204" pitchFamily="34" charset="0"/>
            </a:rPr>
            <a:t>Opt</a:t>
          </a:r>
          <a:r>
            <a:rPr lang="lv-LV" sz="1100" b="1" u="none" baseline="0">
              <a:solidFill>
                <a:sysClr val="windowText" lastClr="000000"/>
              </a:solidFill>
              <a:latin typeface="Arial" panose="020B0604020202020204" pitchFamily="34" charset="0"/>
              <a:ea typeface="+mn-ea"/>
              <a:cs typeface="Arial" panose="020B0604020202020204" pitchFamily="34" charset="0"/>
            </a:rPr>
            <a:t>imāla kapitāla struktūra, ROE</a:t>
          </a:r>
          <a:r>
            <a:rPr lang="en-GB" sz="1100" b="1" u="none" baseline="0">
              <a:solidFill>
                <a:sysClr val="windowText" lastClr="000000"/>
              </a:solidFill>
              <a:latin typeface="Arial" panose="020B0604020202020204" pitchFamily="34" charset="0"/>
              <a:ea typeface="+mn-ea"/>
              <a:cs typeface="Arial" panose="020B0604020202020204" pitchFamily="34" charset="0"/>
            </a:rPr>
            <a:t> </a:t>
          </a:r>
          <a:r>
            <a:rPr lang="lv-LV" sz="1100" b="1" u="none" baseline="0">
              <a:solidFill>
                <a:sysClr val="windowText" lastClr="000000"/>
              </a:solidFill>
              <a:latin typeface="Arial" panose="020B0604020202020204" pitchFamily="34" charset="0"/>
              <a:ea typeface="+mn-ea"/>
              <a:cs typeface="Arial" panose="020B0604020202020204" pitchFamily="34" charset="0"/>
            </a:rPr>
            <a:t>un dividendes </a:t>
          </a:r>
          <a:r>
            <a:rPr lang="en-GB" sz="1100" b="1" u="none" baseline="0">
              <a:solidFill>
                <a:sysClr val="windowText" lastClr="000000"/>
              </a:solidFill>
              <a:latin typeface="Arial" panose="020B0604020202020204" pitchFamily="34" charset="0"/>
              <a:ea typeface="+mn-ea"/>
              <a:cs typeface="Arial" panose="020B0604020202020204" pitchFamily="34" charset="0"/>
            </a:rPr>
            <a:t>-  </a:t>
          </a:r>
          <a:r>
            <a:rPr lang="lv-LV" sz="1050" b="0" baseline="0">
              <a:solidFill>
                <a:schemeClr val="tx1"/>
              </a:solidFill>
              <a:effectLst/>
              <a:latin typeface="Arial" panose="020B0604020202020204" pitchFamily="34" charset="0"/>
              <a:ea typeface="+mn-ea"/>
              <a:cs typeface="Arial" panose="020B0604020202020204" pitchFamily="34" charset="0"/>
            </a:rPr>
            <a:t>balstīti uz nozares vidējo un salīdzināmo uzņēmumu grupu</a:t>
          </a:r>
        </a:p>
        <a:p>
          <a:endParaRPr lang="en-GB" sz="1100">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28</xdr:col>
      <xdr:colOff>595435</xdr:colOff>
      <xdr:row>22</xdr:row>
      <xdr:rowOff>47945</xdr:rowOff>
    </xdr:from>
    <xdr:to>
      <xdr:col>29</xdr:col>
      <xdr:colOff>361792</xdr:colOff>
      <xdr:row>23</xdr:row>
      <xdr:rowOff>189060</xdr:rowOff>
    </xdr:to>
    <xdr:sp macro="" textlink="">
      <xdr:nvSpPr>
        <xdr:cNvPr id="42" name="Down Arrow 8">
          <a:extLst>
            <a:ext uri="{FF2B5EF4-FFF2-40B4-BE49-F238E27FC236}">
              <a16:creationId xmlns:a16="http://schemas.microsoft.com/office/drawing/2014/main" id="{1D1A2286-9348-4FC6-9240-14F29A5B212C}"/>
            </a:ext>
          </a:extLst>
        </xdr:cNvPr>
        <xdr:cNvSpPr/>
      </xdr:nvSpPr>
      <xdr:spPr>
        <a:xfrm rot="16200000">
          <a:off x="17558659" y="1933015"/>
          <a:ext cx="331615" cy="37147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GB" sz="1100"/>
        </a:p>
      </xdr:txBody>
    </xdr:sp>
    <xdr:clientData/>
  </xdr:twoCellAnchor>
  <xdr:twoCellAnchor>
    <xdr:from>
      <xdr:col>29</xdr:col>
      <xdr:colOff>471690</xdr:colOff>
      <xdr:row>13</xdr:row>
      <xdr:rowOff>145676</xdr:rowOff>
    </xdr:from>
    <xdr:to>
      <xdr:col>40</xdr:col>
      <xdr:colOff>470648</xdr:colOff>
      <xdr:row>32</xdr:row>
      <xdr:rowOff>179294</xdr:rowOff>
    </xdr:to>
    <xdr:sp macro="" textlink="">
      <xdr:nvSpPr>
        <xdr:cNvPr id="43" name="Flowchart: Alternate Process 42">
          <a:extLst>
            <a:ext uri="{FF2B5EF4-FFF2-40B4-BE49-F238E27FC236}">
              <a16:creationId xmlns:a16="http://schemas.microsoft.com/office/drawing/2014/main" id="{31E6F669-08B0-44D7-9E86-5FB98B0E5788}"/>
            </a:ext>
          </a:extLst>
        </xdr:cNvPr>
        <xdr:cNvSpPr/>
      </xdr:nvSpPr>
      <xdr:spPr>
        <a:xfrm>
          <a:off x="18020102" y="336176"/>
          <a:ext cx="6655252" cy="3653118"/>
        </a:xfrm>
        <a:prstGeom prst="flowChartAlternateProcess">
          <a:avLst/>
        </a:prstGeom>
        <a:solidFill>
          <a:srgbClr val="002060"/>
        </a:solidFill>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lang="en-GB" sz="1100"/>
        </a:p>
      </xdr:txBody>
    </xdr:sp>
    <xdr:clientData/>
  </xdr:twoCellAnchor>
  <xdr:twoCellAnchor>
    <xdr:from>
      <xdr:col>32</xdr:col>
      <xdr:colOff>440151</xdr:colOff>
      <xdr:row>15</xdr:row>
      <xdr:rowOff>149598</xdr:rowOff>
    </xdr:from>
    <xdr:to>
      <xdr:col>37</xdr:col>
      <xdr:colOff>434709</xdr:colOff>
      <xdr:row>17</xdr:row>
      <xdr:rowOff>187698</xdr:rowOff>
    </xdr:to>
    <xdr:sp macro="" textlink="">
      <xdr:nvSpPr>
        <xdr:cNvPr id="28" name="Rectangle 27">
          <a:extLst>
            <a:ext uri="{FF2B5EF4-FFF2-40B4-BE49-F238E27FC236}">
              <a16:creationId xmlns:a16="http://schemas.microsoft.com/office/drawing/2014/main" id="{31852763-12B3-4AD8-B47B-536A99930A3D}"/>
            </a:ext>
          </a:extLst>
        </xdr:cNvPr>
        <xdr:cNvSpPr/>
      </xdr:nvSpPr>
      <xdr:spPr>
        <a:xfrm>
          <a:off x="19803916" y="721098"/>
          <a:ext cx="3020146" cy="419100"/>
        </a:xfrm>
        <a:prstGeom prst="rect">
          <a:avLst/>
        </a:prstGeom>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Pārskatīšanas process</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30</xdr:col>
      <xdr:colOff>63234</xdr:colOff>
      <xdr:row>20</xdr:row>
      <xdr:rowOff>101973</xdr:rowOff>
    </xdr:from>
    <xdr:to>
      <xdr:col>34</xdr:col>
      <xdr:colOff>55069</xdr:colOff>
      <xdr:row>30</xdr:row>
      <xdr:rowOff>35297</xdr:rowOff>
    </xdr:to>
    <xdr:sp macro="" textlink="">
      <xdr:nvSpPr>
        <xdr:cNvPr id="30" name="Rectangle 29">
          <a:extLst>
            <a:ext uri="{FF2B5EF4-FFF2-40B4-BE49-F238E27FC236}">
              <a16:creationId xmlns:a16="http://schemas.microsoft.com/office/drawing/2014/main" id="{B4B4FEB9-8031-43EC-9B85-A1EE692B8E6E}"/>
            </a:ext>
          </a:extLst>
        </xdr:cNvPr>
        <xdr:cNvSpPr/>
      </xdr:nvSpPr>
      <xdr:spPr>
        <a:xfrm>
          <a:off x="18216763" y="1625973"/>
          <a:ext cx="2412306" cy="1838324"/>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200" b="0" baseline="0">
              <a:solidFill>
                <a:sysClr val="windowText" lastClr="000000"/>
              </a:solidFill>
              <a:latin typeface="Arial" panose="020B0604020202020204" pitchFamily="34" charset="0"/>
              <a:ea typeface="+mn-ea"/>
              <a:cs typeface="Arial" panose="020B0604020202020204" pitchFamily="34" charset="0"/>
            </a:rPr>
            <a:t>Padome (vai kapitāla daļu turētājs, ja nav padome) pārskata finanšu mērķus </a:t>
          </a:r>
          <a:r>
            <a:rPr lang="lv-LV" sz="1200" b="1" u="sng" baseline="0">
              <a:solidFill>
                <a:sysClr val="windowText" lastClr="000000"/>
              </a:solidFill>
              <a:latin typeface="Arial" panose="020B0604020202020204" pitchFamily="34" charset="0"/>
              <a:ea typeface="+mn-ea"/>
              <a:cs typeface="Arial" panose="020B0604020202020204" pitchFamily="34" charset="0"/>
            </a:rPr>
            <a:t>katru gadu</a:t>
          </a:r>
          <a:r>
            <a:rPr lang="lv-LV" sz="1200" b="0" baseline="0">
              <a:solidFill>
                <a:sysClr val="windowText" lastClr="000000"/>
              </a:solidFill>
              <a:latin typeface="Arial" panose="020B0604020202020204" pitchFamily="34" charset="0"/>
              <a:ea typeface="+mn-ea"/>
              <a:cs typeface="Arial" panose="020B0604020202020204" pitchFamily="34" charset="0"/>
            </a:rPr>
            <a:t>, ņemot vērā pieļaujamās novirzes 15% robežās.</a:t>
          </a:r>
          <a:endParaRPr lang="en-GB" sz="1200" b="0" baseline="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30</xdr:col>
      <xdr:colOff>63235</xdr:colOff>
      <xdr:row>18</xdr:row>
      <xdr:rowOff>121022</xdr:rowOff>
    </xdr:from>
    <xdr:to>
      <xdr:col>34</xdr:col>
      <xdr:colOff>64594</xdr:colOff>
      <xdr:row>20</xdr:row>
      <xdr:rowOff>92447</xdr:rowOff>
    </xdr:to>
    <xdr:sp macro="" textlink="">
      <xdr:nvSpPr>
        <xdr:cNvPr id="31" name="Rectangle 30">
          <a:extLst>
            <a:ext uri="{FF2B5EF4-FFF2-40B4-BE49-F238E27FC236}">
              <a16:creationId xmlns:a16="http://schemas.microsoft.com/office/drawing/2014/main" id="{B28B52B8-5E3B-422D-8667-90AF6EBCC42F}"/>
            </a:ext>
          </a:extLst>
        </xdr:cNvPr>
        <xdr:cNvSpPr/>
      </xdr:nvSpPr>
      <xdr:spPr>
        <a:xfrm>
          <a:off x="18216764" y="1264022"/>
          <a:ext cx="2421830" cy="352425"/>
        </a:xfrm>
        <a:prstGeom prst="rect">
          <a:avLst/>
        </a:prstGeom>
        <a:solidFill>
          <a:schemeClr val="accent3"/>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ysClr val="windowText" lastClr="000000"/>
              </a:solidFill>
              <a:latin typeface="Arial" panose="020B0604020202020204" pitchFamily="34" charset="0"/>
              <a:cs typeface="Arial" panose="020B0604020202020204" pitchFamily="34" charset="0"/>
            </a:rPr>
            <a:t>Bud</a:t>
          </a:r>
          <a:r>
            <a:rPr lang="lv-LV" sz="1400" b="1">
              <a:solidFill>
                <a:sysClr val="windowText" lastClr="000000"/>
              </a:solidFill>
              <a:latin typeface="Arial" panose="020B0604020202020204" pitchFamily="34" charset="0"/>
              <a:cs typeface="Arial" panose="020B0604020202020204" pitchFamily="34" charset="0"/>
            </a:rPr>
            <a:t>žets</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34</xdr:col>
      <xdr:colOff>74120</xdr:colOff>
      <xdr:row>20</xdr:row>
      <xdr:rowOff>101973</xdr:rowOff>
    </xdr:from>
    <xdr:to>
      <xdr:col>40</xdr:col>
      <xdr:colOff>261899</xdr:colOff>
      <xdr:row>30</xdr:row>
      <xdr:rowOff>16249</xdr:rowOff>
    </xdr:to>
    <xdr:sp macro="" textlink="">
      <xdr:nvSpPr>
        <xdr:cNvPr id="32" name="Rectangle 31">
          <a:extLst>
            <a:ext uri="{FF2B5EF4-FFF2-40B4-BE49-F238E27FC236}">
              <a16:creationId xmlns:a16="http://schemas.microsoft.com/office/drawing/2014/main" id="{EAA6437C-BB72-49D8-A800-3C842037D429}"/>
            </a:ext>
          </a:extLst>
        </xdr:cNvPr>
        <xdr:cNvSpPr/>
      </xdr:nvSpPr>
      <xdr:spPr>
        <a:xfrm>
          <a:off x="20648120" y="1625973"/>
          <a:ext cx="3818485" cy="1819276"/>
        </a:xfrm>
        <a:prstGeom prst="rect">
          <a:avLst/>
        </a:prstGeom>
        <a:solidFill>
          <a:schemeClr val="accent1">
            <a:lumMod val="40000"/>
            <a:lumOff val="6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lv-LV" sz="1200" b="0" u="none" baseline="0">
              <a:solidFill>
                <a:sysClr val="windowText" lastClr="000000"/>
              </a:solidFill>
              <a:latin typeface="Arial" panose="020B0604020202020204" pitchFamily="34" charset="0"/>
              <a:ea typeface="+mn-ea"/>
              <a:cs typeface="Arial" panose="020B0604020202020204" pitchFamily="34" charset="0"/>
            </a:rPr>
            <a:t>Katru gadu vērtē Koordinācijas institūcija, ņemot vērā pieļauamās novirzes 15% robežās.</a:t>
          </a:r>
          <a:endParaRPr lang="en-GB" sz="1200" b="0" u="none" baseline="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twoCellAnchor>
    <xdr:from>
      <xdr:col>34</xdr:col>
      <xdr:colOff>83644</xdr:colOff>
      <xdr:row>18</xdr:row>
      <xdr:rowOff>121022</xdr:rowOff>
    </xdr:from>
    <xdr:to>
      <xdr:col>40</xdr:col>
      <xdr:colOff>252372</xdr:colOff>
      <xdr:row>20</xdr:row>
      <xdr:rowOff>92447</xdr:rowOff>
    </xdr:to>
    <xdr:sp macro="" textlink="">
      <xdr:nvSpPr>
        <xdr:cNvPr id="33" name="Rectangle 32">
          <a:extLst>
            <a:ext uri="{FF2B5EF4-FFF2-40B4-BE49-F238E27FC236}">
              <a16:creationId xmlns:a16="http://schemas.microsoft.com/office/drawing/2014/main" id="{43F9B4BA-7936-4733-8DE9-15E54F6C2517}"/>
            </a:ext>
          </a:extLst>
        </xdr:cNvPr>
        <xdr:cNvSpPr/>
      </xdr:nvSpPr>
      <xdr:spPr>
        <a:xfrm>
          <a:off x="20657644" y="1264022"/>
          <a:ext cx="3799434" cy="352425"/>
        </a:xfrm>
        <a:prstGeom prst="rect">
          <a:avLst/>
        </a:prstGeom>
        <a:solidFill>
          <a:schemeClr val="accent3"/>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v-LV" sz="1400" b="1">
              <a:solidFill>
                <a:sysClr val="windowText" lastClr="000000"/>
              </a:solidFill>
              <a:latin typeface="Arial" panose="020B0604020202020204" pitchFamily="34" charset="0"/>
              <a:cs typeface="Arial" panose="020B0604020202020204" pitchFamily="34" charset="0"/>
            </a:rPr>
            <a:t>Finanšu mērķi</a:t>
          </a:r>
          <a:endParaRPr lang="en-GB" sz="14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85725</xdr:colOff>
      <xdr:row>45</xdr:row>
      <xdr:rowOff>95251</xdr:rowOff>
    </xdr:from>
    <xdr:to>
      <xdr:col>6</xdr:col>
      <xdr:colOff>525150</xdr:colOff>
      <xdr:row>72</xdr:row>
      <xdr:rowOff>66678</xdr:rowOff>
    </xdr:to>
    <xdr:graphicFrame macro="">
      <xdr:nvGraphicFramePr>
        <xdr:cNvPr id="5" name="Chart SD_RT1">
          <a:extLst>
            <a:ext uri="{FF2B5EF4-FFF2-40B4-BE49-F238E27FC236}">
              <a16:creationId xmlns:a16="http://schemas.microsoft.com/office/drawing/2014/main" id="{E55C78E6-EF26-4F0F-A36A-3853D2172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400050</xdr:colOff>
      <xdr:row>45</xdr:row>
      <xdr:rowOff>95251</xdr:rowOff>
    </xdr:from>
    <xdr:to>
      <xdr:col>15</xdr:col>
      <xdr:colOff>487050</xdr:colOff>
      <xdr:row>72</xdr:row>
      <xdr:rowOff>123828</xdr:rowOff>
    </xdr:to>
    <xdr:graphicFrame macro="">
      <xdr:nvGraphicFramePr>
        <xdr:cNvPr id="6" name="Chart SD_RT2">
          <a:extLst>
            <a:ext uri="{FF2B5EF4-FFF2-40B4-BE49-F238E27FC236}">
              <a16:creationId xmlns:a16="http://schemas.microsoft.com/office/drawing/2014/main" id="{C7A4C2EA-2E82-498C-A89D-31CF4FA79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371475</xdr:colOff>
      <xdr:row>45</xdr:row>
      <xdr:rowOff>95251</xdr:rowOff>
    </xdr:from>
    <xdr:to>
      <xdr:col>24</xdr:col>
      <xdr:colOff>144150</xdr:colOff>
      <xdr:row>72</xdr:row>
      <xdr:rowOff>171452</xdr:rowOff>
    </xdr:to>
    <xdr:graphicFrame macro="">
      <xdr:nvGraphicFramePr>
        <xdr:cNvPr id="7" name="Chart SD_RT3">
          <a:extLst>
            <a:ext uri="{FF2B5EF4-FFF2-40B4-BE49-F238E27FC236}">
              <a16:creationId xmlns:a16="http://schemas.microsoft.com/office/drawing/2014/main" id="{82A388BE-FEF1-40AE-9152-423F5CDE64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0</xdr:colOff>
      <xdr:row>16</xdr:row>
      <xdr:rowOff>19050</xdr:rowOff>
    </xdr:from>
    <xdr:to>
      <xdr:col>15</xdr:col>
      <xdr:colOff>19050</xdr:colOff>
      <xdr:row>35</xdr:row>
      <xdr:rowOff>57150</xdr:rowOff>
    </xdr:to>
    <xdr:graphicFrame macro="">
      <xdr:nvGraphicFramePr>
        <xdr:cNvPr id="3" name="Chart SD_DP1">
          <a:extLst>
            <a:ext uri="{FF2B5EF4-FFF2-40B4-BE49-F238E27FC236}">
              <a16:creationId xmlns:a16="http://schemas.microsoft.com/office/drawing/2014/main" id="{61EA8B6B-BA3D-4837-A084-7BCB2BEBF4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6</xdr:row>
      <xdr:rowOff>0</xdr:rowOff>
    </xdr:from>
    <xdr:to>
      <xdr:col>25</xdr:col>
      <xdr:colOff>0</xdr:colOff>
      <xdr:row>22</xdr:row>
      <xdr:rowOff>148167</xdr:rowOff>
    </xdr:to>
    <xdr:graphicFrame macro="">
      <xdr:nvGraphicFramePr>
        <xdr:cNvPr id="15" name="Chart SD_CS1">
          <a:extLst>
            <a:ext uri="{FF2B5EF4-FFF2-40B4-BE49-F238E27FC236}">
              <a16:creationId xmlns:a16="http://schemas.microsoft.com/office/drawing/2014/main" id="{5D17CC4A-6782-45C3-B660-546516905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31750</xdr:colOff>
      <xdr:row>55</xdr:row>
      <xdr:rowOff>10584</xdr:rowOff>
    </xdr:from>
    <xdr:to>
      <xdr:col>25</xdr:col>
      <xdr:colOff>21166</xdr:colOff>
      <xdr:row>74</xdr:row>
      <xdr:rowOff>68792</xdr:rowOff>
    </xdr:to>
    <xdr:graphicFrame macro="">
      <xdr:nvGraphicFramePr>
        <xdr:cNvPr id="7" name="Chart SD_DP1">
          <a:extLst>
            <a:ext uri="{FF2B5EF4-FFF2-40B4-BE49-F238E27FC236}">
              <a16:creationId xmlns:a16="http://schemas.microsoft.com/office/drawing/2014/main" id="{A7C8BB3F-8763-461E-B304-33F6245EC1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31750</xdr:colOff>
      <xdr:row>24</xdr:row>
      <xdr:rowOff>179917</xdr:rowOff>
    </xdr:from>
    <xdr:to>
      <xdr:col>10</xdr:col>
      <xdr:colOff>838416</xdr:colOff>
      <xdr:row>51</xdr:row>
      <xdr:rowOff>169336</xdr:rowOff>
    </xdr:to>
    <xdr:graphicFrame macro="">
      <xdr:nvGraphicFramePr>
        <xdr:cNvPr id="8" name="Chart SD_RT1">
          <a:extLst>
            <a:ext uri="{FF2B5EF4-FFF2-40B4-BE49-F238E27FC236}">
              <a16:creationId xmlns:a16="http://schemas.microsoft.com/office/drawing/2014/main" id="{04B16DDA-7961-4FC5-A600-77D9607AA5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803275</xdr:colOff>
      <xdr:row>24</xdr:row>
      <xdr:rowOff>179917</xdr:rowOff>
    </xdr:from>
    <xdr:to>
      <xdr:col>18</xdr:col>
      <xdr:colOff>0</xdr:colOff>
      <xdr:row>52</xdr:row>
      <xdr:rowOff>46569</xdr:rowOff>
    </xdr:to>
    <xdr:graphicFrame macro="">
      <xdr:nvGraphicFramePr>
        <xdr:cNvPr id="9" name="Chart SD_RT2">
          <a:extLst>
            <a:ext uri="{FF2B5EF4-FFF2-40B4-BE49-F238E27FC236}">
              <a16:creationId xmlns:a16="http://schemas.microsoft.com/office/drawing/2014/main" id="{2BA04EFD-7EAF-4AC6-92A1-DDF882126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61382</xdr:colOff>
      <xdr:row>24</xdr:row>
      <xdr:rowOff>179917</xdr:rowOff>
    </xdr:from>
    <xdr:to>
      <xdr:col>25</xdr:col>
      <xdr:colOff>21382</xdr:colOff>
      <xdr:row>52</xdr:row>
      <xdr:rowOff>94193</xdr:rowOff>
    </xdr:to>
    <xdr:graphicFrame macro="">
      <xdr:nvGraphicFramePr>
        <xdr:cNvPr id="10" name="Chart SD_RT3">
          <a:extLst>
            <a:ext uri="{FF2B5EF4-FFF2-40B4-BE49-F238E27FC236}">
              <a16:creationId xmlns:a16="http://schemas.microsoft.com/office/drawing/2014/main" id="{C7FCBFB4-D5A5-44E6-888A-73B634C07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28574</xdr:colOff>
      <xdr:row>14</xdr:row>
      <xdr:rowOff>9525</xdr:rowOff>
    </xdr:from>
    <xdr:to>
      <xdr:col>9</xdr:col>
      <xdr:colOff>685800</xdr:colOff>
      <xdr:row>41</xdr:row>
      <xdr:rowOff>15975</xdr:rowOff>
    </xdr:to>
    <xdr:graphicFrame macro="">
      <xdr:nvGraphicFramePr>
        <xdr:cNvPr id="2" name="Chart COM_CS1">
          <a:extLst>
            <a:ext uri="{FF2B5EF4-FFF2-40B4-BE49-F238E27FC236}">
              <a16:creationId xmlns:a16="http://schemas.microsoft.com/office/drawing/2014/main" id="{10F008CD-2000-46C7-AA5B-061F993781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24</xdr:col>
      <xdr:colOff>266700</xdr:colOff>
      <xdr:row>38</xdr:row>
      <xdr:rowOff>123824</xdr:rowOff>
    </xdr:from>
    <xdr:to>
      <xdr:col>29</xdr:col>
      <xdr:colOff>266700</xdr:colOff>
      <xdr:row>69</xdr:row>
      <xdr:rowOff>111674</xdr:rowOff>
    </xdr:to>
    <xdr:graphicFrame macro="">
      <xdr:nvGraphicFramePr>
        <xdr:cNvPr id="2" name="Chart COM_RT4">
          <a:extLst>
            <a:ext uri="{FF2B5EF4-FFF2-40B4-BE49-F238E27FC236}">
              <a16:creationId xmlns:a16="http://schemas.microsoft.com/office/drawing/2014/main" id="{C164430A-2E74-43C9-9E39-31EC043A4F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209550</xdr:colOff>
      <xdr:row>38</xdr:row>
      <xdr:rowOff>123824</xdr:rowOff>
    </xdr:from>
    <xdr:to>
      <xdr:col>9</xdr:col>
      <xdr:colOff>95250</xdr:colOff>
      <xdr:row>71</xdr:row>
      <xdr:rowOff>9524</xdr:rowOff>
    </xdr:to>
    <xdr:graphicFrame macro="">
      <xdr:nvGraphicFramePr>
        <xdr:cNvPr id="11" name="Chart COM_RT1">
          <a:extLst>
            <a:ext uri="{FF2B5EF4-FFF2-40B4-BE49-F238E27FC236}">
              <a16:creationId xmlns:a16="http://schemas.microsoft.com/office/drawing/2014/main" id="{91D40632-A835-48A0-8902-CCBD55116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139700</xdr:colOff>
      <xdr:row>38</xdr:row>
      <xdr:rowOff>123824</xdr:rowOff>
    </xdr:from>
    <xdr:to>
      <xdr:col>16</xdr:col>
      <xdr:colOff>349250</xdr:colOff>
      <xdr:row>71</xdr:row>
      <xdr:rowOff>9524</xdr:rowOff>
    </xdr:to>
    <xdr:graphicFrame macro="">
      <xdr:nvGraphicFramePr>
        <xdr:cNvPr id="17" name="Chart COM_RT2">
          <a:extLst>
            <a:ext uri="{FF2B5EF4-FFF2-40B4-BE49-F238E27FC236}">
              <a16:creationId xmlns:a16="http://schemas.microsoft.com/office/drawing/2014/main" id="{61EC4491-6C40-4E72-AFED-028AE8902A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393700</xdr:colOff>
      <xdr:row>38</xdr:row>
      <xdr:rowOff>123824</xdr:rowOff>
    </xdr:from>
    <xdr:to>
      <xdr:col>24</xdr:col>
      <xdr:colOff>222250</xdr:colOff>
      <xdr:row>71</xdr:row>
      <xdr:rowOff>9524</xdr:rowOff>
    </xdr:to>
    <xdr:graphicFrame macro="">
      <xdr:nvGraphicFramePr>
        <xdr:cNvPr id="20" name="Chart COM_RT3">
          <a:extLst>
            <a:ext uri="{FF2B5EF4-FFF2-40B4-BE49-F238E27FC236}">
              <a16:creationId xmlns:a16="http://schemas.microsoft.com/office/drawing/2014/main" id="{9C8CC851-8662-4C86-B75E-BFD2DE26F0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95250</xdr:colOff>
      <xdr:row>13</xdr:row>
      <xdr:rowOff>152400</xdr:rowOff>
    </xdr:from>
    <xdr:to>
      <xdr:col>10</xdr:col>
      <xdr:colOff>0</xdr:colOff>
      <xdr:row>41</xdr:row>
      <xdr:rowOff>15975</xdr:rowOff>
    </xdr:to>
    <xdr:graphicFrame macro="">
      <xdr:nvGraphicFramePr>
        <xdr:cNvPr id="4" name="Chart COM_DP1">
          <a:extLst>
            <a:ext uri="{FF2B5EF4-FFF2-40B4-BE49-F238E27FC236}">
              <a16:creationId xmlns:a16="http://schemas.microsoft.com/office/drawing/2014/main" id="{2483FE2E-BF8B-4032-807E-9989151163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4</xdr:col>
      <xdr:colOff>38099</xdr:colOff>
      <xdr:row>6</xdr:row>
      <xdr:rowOff>9525</xdr:rowOff>
    </xdr:from>
    <xdr:to>
      <xdr:col>14</xdr:col>
      <xdr:colOff>828675</xdr:colOff>
      <xdr:row>33</xdr:row>
      <xdr:rowOff>171450</xdr:rowOff>
    </xdr:to>
    <xdr:graphicFrame macro="">
      <xdr:nvGraphicFramePr>
        <xdr:cNvPr id="17" name="Chart COM_CS1">
          <a:extLst>
            <a:ext uri="{FF2B5EF4-FFF2-40B4-BE49-F238E27FC236}">
              <a16:creationId xmlns:a16="http://schemas.microsoft.com/office/drawing/2014/main" id="{135DB31C-912F-4B5C-923F-CCB653F2D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828675</xdr:colOff>
      <xdr:row>6</xdr:row>
      <xdr:rowOff>9525</xdr:rowOff>
    </xdr:from>
    <xdr:to>
      <xdr:col>25</xdr:col>
      <xdr:colOff>19050</xdr:colOff>
      <xdr:row>34</xdr:row>
      <xdr:rowOff>19049</xdr:rowOff>
    </xdr:to>
    <xdr:graphicFrame macro="">
      <xdr:nvGraphicFramePr>
        <xdr:cNvPr id="18" name="Chart COM_DP1">
          <a:extLst>
            <a:ext uri="{FF2B5EF4-FFF2-40B4-BE49-F238E27FC236}">
              <a16:creationId xmlns:a16="http://schemas.microsoft.com/office/drawing/2014/main" id="{80E64860-D4A9-49E8-BE20-6A8984F2A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38100</xdr:colOff>
      <xdr:row>36</xdr:row>
      <xdr:rowOff>19050</xdr:rowOff>
    </xdr:from>
    <xdr:to>
      <xdr:col>12</xdr:col>
      <xdr:colOff>276225</xdr:colOff>
      <xdr:row>61</xdr:row>
      <xdr:rowOff>171450</xdr:rowOff>
    </xdr:to>
    <xdr:graphicFrame macro="">
      <xdr:nvGraphicFramePr>
        <xdr:cNvPr id="20" name="Chart COM_RT1">
          <a:extLst>
            <a:ext uri="{FF2B5EF4-FFF2-40B4-BE49-F238E27FC236}">
              <a16:creationId xmlns:a16="http://schemas.microsoft.com/office/drawing/2014/main" id="{94F17E2C-22FF-48B9-ADD6-DFFBDEF13A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400050</xdr:colOff>
      <xdr:row>36</xdr:row>
      <xdr:rowOff>19050</xdr:rowOff>
    </xdr:from>
    <xdr:to>
      <xdr:col>17</xdr:col>
      <xdr:colOff>742950</xdr:colOff>
      <xdr:row>62</xdr:row>
      <xdr:rowOff>0</xdr:rowOff>
    </xdr:to>
    <xdr:graphicFrame macro="">
      <xdr:nvGraphicFramePr>
        <xdr:cNvPr id="22" name="Chart COM_RT2">
          <a:extLst>
            <a:ext uri="{FF2B5EF4-FFF2-40B4-BE49-F238E27FC236}">
              <a16:creationId xmlns:a16="http://schemas.microsoft.com/office/drawing/2014/main" id="{A54831FA-F82A-4D75-95F8-D8B256B3A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28574</xdr:colOff>
      <xdr:row>36</xdr:row>
      <xdr:rowOff>19050</xdr:rowOff>
    </xdr:from>
    <xdr:to>
      <xdr:col>25</xdr:col>
      <xdr:colOff>19049</xdr:colOff>
      <xdr:row>61</xdr:row>
      <xdr:rowOff>152400</xdr:rowOff>
    </xdr:to>
    <xdr:graphicFrame macro="">
      <xdr:nvGraphicFramePr>
        <xdr:cNvPr id="23" name="Chart COM_RT3">
          <a:extLst>
            <a:ext uri="{FF2B5EF4-FFF2-40B4-BE49-F238E27FC236}">
              <a16:creationId xmlns:a16="http://schemas.microsoft.com/office/drawing/2014/main" id="{7E72E22D-0DFA-4A27-B101-3D44CCA456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66674</xdr:colOff>
      <xdr:row>14</xdr:row>
      <xdr:rowOff>19051</xdr:rowOff>
    </xdr:from>
    <xdr:to>
      <xdr:col>9</xdr:col>
      <xdr:colOff>590549</xdr:colOff>
      <xdr:row>43</xdr:row>
      <xdr:rowOff>73126</xdr:rowOff>
    </xdr:to>
    <xdr:graphicFrame macro="">
      <xdr:nvGraphicFramePr>
        <xdr:cNvPr id="4" name="Chart SD_CS1">
          <a:extLst>
            <a:ext uri="{FF2B5EF4-FFF2-40B4-BE49-F238E27FC236}">
              <a16:creationId xmlns:a16="http://schemas.microsoft.com/office/drawing/2014/main" id="{FBE0BA5D-A677-434F-8150-683E4143D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209550</xdr:colOff>
      <xdr:row>38</xdr:row>
      <xdr:rowOff>76200</xdr:rowOff>
    </xdr:from>
    <xdr:to>
      <xdr:col>9</xdr:col>
      <xdr:colOff>95250</xdr:colOff>
      <xdr:row>70</xdr:row>
      <xdr:rowOff>142875</xdr:rowOff>
    </xdr:to>
    <xdr:graphicFrame macro="">
      <xdr:nvGraphicFramePr>
        <xdr:cNvPr id="11" name="Chart SD_RT1">
          <a:extLst>
            <a:ext uri="{FF2B5EF4-FFF2-40B4-BE49-F238E27FC236}">
              <a16:creationId xmlns:a16="http://schemas.microsoft.com/office/drawing/2014/main" id="{1B6A9E1D-1936-4A76-A74E-3A1C2D651F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187325</xdr:colOff>
      <xdr:row>38</xdr:row>
      <xdr:rowOff>76200</xdr:rowOff>
    </xdr:from>
    <xdr:to>
      <xdr:col>16</xdr:col>
      <xdr:colOff>396875</xdr:colOff>
      <xdr:row>70</xdr:row>
      <xdr:rowOff>142875</xdr:rowOff>
    </xdr:to>
    <xdr:graphicFrame macro="">
      <xdr:nvGraphicFramePr>
        <xdr:cNvPr id="12" name="Chart SD_RT2">
          <a:extLst>
            <a:ext uri="{FF2B5EF4-FFF2-40B4-BE49-F238E27FC236}">
              <a16:creationId xmlns:a16="http://schemas.microsoft.com/office/drawing/2014/main" id="{B242B893-144B-4E9A-BE4F-54FA4019F7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409575</xdr:colOff>
      <xdr:row>38</xdr:row>
      <xdr:rowOff>76200</xdr:rowOff>
    </xdr:from>
    <xdr:to>
      <xdr:col>29</xdr:col>
      <xdr:colOff>257175</xdr:colOff>
      <xdr:row>69</xdr:row>
      <xdr:rowOff>64050</xdr:rowOff>
    </xdr:to>
    <xdr:graphicFrame macro="">
      <xdr:nvGraphicFramePr>
        <xdr:cNvPr id="13" name="Chart SD_RT4">
          <a:extLst>
            <a:ext uri="{FF2B5EF4-FFF2-40B4-BE49-F238E27FC236}">
              <a16:creationId xmlns:a16="http://schemas.microsoft.com/office/drawing/2014/main" id="{9EAC20CE-43BC-449F-9A59-E27E7E34A8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488950</xdr:colOff>
      <xdr:row>38</xdr:row>
      <xdr:rowOff>76200</xdr:rowOff>
    </xdr:from>
    <xdr:to>
      <xdr:col>24</xdr:col>
      <xdr:colOff>317500</xdr:colOff>
      <xdr:row>70</xdr:row>
      <xdr:rowOff>142875</xdr:rowOff>
    </xdr:to>
    <xdr:graphicFrame macro="">
      <xdr:nvGraphicFramePr>
        <xdr:cNvPr id="14" name="Chart SD_RT3">
          <a:extLst>
            <a:ext uri="{FF2B5EF4-FFF2-40B4-BE49-F238E27FC236}">
              <a16:creationId xmlns:a16="http://schemas.microsoft.com/office/drawing/2014/main" id="{104F45E1-BC77-4C41-B116-0FCB5158CD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95250</xdr:colOff>
      <xdr:row>14</xdr:row>
      <xdr:rowOff>28575</xdr:rowOff>
    </xdr:from>
    <xdr:to>
      <xdr:col>10</xdr:col>
      <xdr:colOff>0</xdr:colOff>
      <xdr:row>41</xdr:row>
      <xdr:rowOff>15975</xdr:rowOff>
    </xdr:to>
    <xdr:graphicFrame macro="">
      <xdr:nvGraphicFramePr>
        <xdr:cNvPr id="4" name="Chart SD_DP1">
          <a:extLst>
            <a:ext uri="{FF2B5EF4-FFF2-40B4-BE49-F238E27FC236}">
              <a16:creationId xmlns:a16="http://schemas.microsoft.com/office/drawing/2014/main" id="{7C654EB7-0CD2-4C32-80A2-72141C256E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106456</xdr:colOff>
      <xdr:row>22</xdr:row>
      <xdr:rowOff>179053</xdr:rowOff>
    </xdr:from>
    <xdr:to>
      <xdr:col>11</xdr:col>
      <xdr:colOff>0</xdr:colOff>
      <xdr:row>37</xdr:row>
      <xdr:rowOff>21318</xdr:rowOff>
    </xdr:to>
    <xdr:pic>
      <xdr:nvPicPr>
        <xdr:cNvPr id="3" name="Attēls 2083354231">
          <a:extLst>
            <a:ext uri="{FF2B5EF4-FFF2-40B4-BE49-F238E27FC236}">
              <a16:creationId xmlns:a16="http://schemas.microsoft.com/office/drawing/2014/main" id="{D9450B00-8C06-4D10-98C9-E5A622DDD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3074" y="4751053"/>
          <a:ext cx="4678455" cy="2542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4</xdr:col>
      <xdr:colOff>95250</xdr:colOff>
      <xdr:row>6</xdr:row>
      <xdr:rowOff>19050</xdr:rowOff>
    </xdr:from>
    <xdr:to>
      <xdr:col>14</xdr:col>
      <xdr:colOff>828675</xdr:colOff>
      <xdr:row>34</xdr:row>
      <xdr:rowOff>161925</xdr:rowOff>
    </xdr:to>
    <xdr:graphicFrame macro="">
      <xdr:nvGraphicFramePr>
        <xdr:cNvPr id="17" name="Chart SD_CS1">
          <a:extLst>
            <a:ext uri="{FF2B5EF4-FFF2-40B4-BE49-F238E27FC236}">
              <a16:creationId xmlns:a16="http://schemas.microsoft.com/office/drawing/2014/main" id="{8E8B7EDE-FDB9-49BA-BA83-D2F824923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9524</xdr:colOff>
      <xdr:row>6</xdr:row>
      <xdr:rowOff>19050</xdr:rowOff>
    </xdr:from>
    <xdr:to>
      <xdr:col>24</xdr:col>
      <xdr:colOff>609599</xdr:colOff>
      <xdr:row>34</xdr:row>
      <xdr:rowOff>152400</xdr:rowOff>
    </xdr:to>
    <xdr:graphicFrame macro="">
      <xdr:nvGraphicFramePr>
        <xdr:cNvPr id="23" name="Chart SD_DP1">
          <a:extLst>
            <a:ext uri="{FF2B5EF4-FFF2-40B4-BE49-F238E27FC236}">
              <a16:creationId xmlns:a16="http://schemas.microsoft.com/office/drawing/2014/main" id="{F117DB8A-FF14-44F9-9E13-082C21DEF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36</xdr:row>
      <xdr:rowOff>28576</xdr:rowOff>
    </xdr:from>
    <xdr:to>
      <xdr:col>12</xdr:col>
      <xdr:colOff>311150</xdr:colOff>
      <xdr:row>63</xdr:row>
      <xdr:rowOff>19050</xdr:rowOff>
    </xdr:to>
    <xdr:graphicFrame macro="">
      <xdr:nvGraphicFramePr>
        <xdr:cNvPr id="24" name="Chart SD_RT1">
          <a:extLst>
            <a:ext uri="{FF2B5EF4-FFF2-40B4-BE49-F238E27FC236}">
              <a16:creationId xmlns:a16="http://schemas.microsoft.com/office/drawing/2014/main" id="{53104D13-7536-44E0-B850-969D33770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577850</xdr:colOff>
      <xdr:row>36</xdr:row>
      <xdr:rowOff>28576</xdr:rowOff>
    </xdr:from>
    <xdr:to>
      <xdr:col>18</xdr:col>
      <xdr:colOff>79375</xdr:colOff>
      <xdr:row>63</xdr:row>
      <xdr:rowOff>19050</xdr:rowOff>
    </xdr:to>
    <xdr:graphicFrame macro="">
      <xdr:nvGraphicFramePr>
        <xdr:cNvPr id="25" name="Chart SD_RT2">
          <a:extLst>
            <a:ext uri="{FF2B5EF4-FFF2-40B4-BE49-F238E27FC236}">
              <a16:creationId xmlns:a16="http://schemas.microsoft.com/office/drawing/2014/main" id="{7F9FF603-1BC4-4CCB-BB1C-9D2158FF0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346075</xdr:colOff>
      <xdr:row>36</xdr:row>
      <xdr:rowOff>28576</xdr:rowOff>
    </xdr:from>
    <xdr:to>
      <xdr:col>25</xdr:col>
      <xdr:colOff>0</xdr:colOff>
      <xdr:row>63</xdr:row>
      <xdr:rowOff>19050</xdr:rowOff>
    </xdr:to>
    <xdr:graphicFrame macro="">
      <xdr:nvGraphicFramePr>
        <xdr:cNvPr id="26" name="Chart SD_RT3">
          <a:extLst>
            <a:ext uri="{FF2B5EF4-FFF2-40B4-BE49-F238E27FC236}">
              <a16:creationId xmlns:a16="http://schemas.microsoft.com/office/drawing/2014/main" id="{071E87E5-BFEE-4DF1-A3B7-24A8993D50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76200</xdr:colOff>
      <xdr:row>52</xdr:row>
      <xdr:rowOff>9524</xdr:rowOff>
    </xdr:from>
    <xdr:to>
      <xdr:col>7</xdr:col>
      <xdr:colOff>3184071</xdr:colOff>
      <xdr:row>61</xdr:row>
      <xdr:rowOff>161925</xdr:rowOff>
    </xdr:to>
    <xdr:grpSp>
      <xdr:nvGrpSpPr>
        <xdr:cNvPr id="15" name="Group 14">
          <a:extLst>
            <a:ext uri="{FF2B5EF4-FFF2-40B4-BE49-F238E27FC236}">
              <a16:creationId xmlns:a16="http://schemas.microsoft.com/office/drawing/2014/main" id="{77EC1DA1-B5A4-42BC-A6CB-55590C0249A3}"/>
            </a:ext>
          </a:extLst>
        </xdr:cNvPr>
        <xdr:cNvGrpSpPr/>
      </xdr:nvGrpSpPr>
      <xdr:grpSpPr>
        <a:xfrm>
          <a:off x="1807029" y="10252981"/>
          <a:ext cx="7625442" cy="1719944"/>
          <a:chOff x="1228724" y="6191249"/>
          <a:chExt cx="9810752" cy="1866901"/>
        </a:xfrm>
      </xdr:grpSpPr>
      <xdr:grpSp>
        <xdr:nvGrpSpPr>
          <xdr:cNvPr id="2" name="Group 1">
            <a:extLst>
              <a:ext uri="{FF2B5EF4-FFF2-40B4-BE49-F238E27FC236}">
                <a16:creationId xmlns:a16="http://schemas.microsoft.com/office/drawing/2014/main" id="{BFB8A84F-571D-40A2-8560-A5983CBFF80D}"/>
              </a:ext>
            </a:extLst>
          </xdr:cNvPr>
          <xdr:cNvGrpSpPr/>
        </xdr:nvGrpSpPr>
        <xdr:grpSpPr>
          <a:xfrm>
            <a:off x="1228724" y="6191249"/>
            <a:ext cx="9553575" cy="1866901"/>
            <a:chOff x="429769" y="625221"/>
            <a:chExt cx="4882896" cy="3129534"/>
          </a:xfrm>
        </xdr:grpSpPr>
        <xdr:sp macro="" textlink="">
          <xdr:nvSpPr>
            <xdr:cNvPr id="3" name="Rectangle 2">
              <a:extLst>
                <a:ext uri="{FF2B5EF4-FFF2-40B4-BE49-F238E27FC236}">
                  <a16:creationId xmlns:a16="http://schemas.microsoft.com/office/drawing/2014/main" id="{3071F6AD-A016-404A-AD3A-18D9ABC228D4}"/>
                </a:ext>
              </a:extLst>
            </xdr:cNvPr>
            <xdr:cNvSpPr/>
          </xdr:nvSpPr>
          <xdr:spPr>
            <a:xfrm>
              <a:off x="429769" y="1733931"/>
              <a:ext cx="244144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Nozare: Pēdējo 3 gadu vidējais svērtais</a:t>
              </a:r>
            </a:p>
            <a:p>
              <a:pPr algn="ctr"/>
              <a:r>
                <a:rPr lang="lv-LV" sz="1100">
                  <a:latin typeface="Arial" panose="020B0604020202020204" pitchFamily="34" charset="0"/>
                  <a:cs typeface="Arial" panose="020B0604020202020204" pitchFamily="34" charset="0"/>
                </a:rPr>
                <a:t>(50%)</a:t>
              </a:r>
            </a:p>
          </xdr:txBody>
        </xdr:sp>
        <xdr:sp macro="" textlink="">
          <xdr:nvSpPr>
            <xdr:cNvPr id="4" name="Rectangle 3">
              <a:extLst>
                <a:ext uri="{FF2B5EF4-FFF2-40B4-BE49-F238E27FC236}">
                  <a16:creationId xmlns:a16="http://schemas.microsoft.com/office/drawing/2014/main" id="{3640A383-6F41-4467-B001-0B992CF501F0}"/>
                </a:ext>
              </a:extLst>
            </xdr:cNvPr>
            <xdr:cNvSpPr/>
          </xdr:nvSpPr>
          <xdr:spPr>
            <a:xfrm>
              <a:off x="2871217" y="1733931"/>
              <a:ext cx="244144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bg2">
                      <a:lumMod val="25000"/>
                    </a:schemeClr>
                  </a:solidFill>
                  <a:latin typeface="Arial" panose="020B0604020202020204" pitchFamily="34" charset="0"/>
                  <a:cs typeface="Arial" panose="020B0604020202020204" pitchFamily="34" charset="0"/>
                </a:rPr>
                <a:t>Salīdzināmo uzņēmumu mediāna</a:t>
              </a:r>
              <a:endParaRPr lang="en-US" sz="1100">
                <a:solidFill>
                  <a:schemeClr val="bg2">
                    <a:lumMod val="25000"/>
                  </a:schemeClr>
                </a:solidFill>
                <a:latin typeface="Arial" panose="020B0604020202020204" pitchFamily="34" charset="0"/>
                <a:cs typeface="Arial" panose="020B0604020202020204" pitchFamily="34" charset="0"/>
              </a:endParaRPr>
            </a:p>
            <a:p>
              <a:pPr algn="ctr"/>
              <a:r>
                <a:rPr lang="lv-LV" sz="1100">
                  <a:solidFill>
                    <a:schemeClr val="bg2">
                      <a:lumMod val="25000"/>
                    </a:schemeClr>
                  </a:solidFill>
                  <a:latin typeface="Arial" panose="020B0604020202020204" pitchFamily="34" charset="0"/>
                  <a:cs typeface="Arial" panose="020B0604020202020204" pitchFamily="34" charset="0"/>
                </a:rPr>
                <a:t>(6-10 salīdzināmie uzņēmumi) </a:t>
              </a:r>
            </a:p>
            <a:p>
              <a:pPr algn="ctr"/>
              <a:r>
                <a:rPr lang="lv-LV" sz="1100">
                  <a:solidFill>
                    <a:schemeClr val="bg2">
                      <a:lumMod val="25000"/>
                    </a:schemeClr>
                  </a:solidFill>
                  <a:latin typeface="Arial" panose="020B0604020202020204" pitchFamily="34" charset="0"/>
                  <a:cs typeface="Arial" panose="020B0604020202020204" pitchFamily="34" charset="0"/>
                </a:rPr>
                <a:t>50%</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5" name="Rectangle 4">
              <a:extLst>
                <a:ext uri="{FF2B5EF4-FFF2-40B4-BE49-F238E27FC236}">
                  <a16:creationId xmlns:a16="http://schemas.microsoft.com/office/drawing/2014/main" id="{46043291-96FE-41DB-80AE-051423C5D80E}"/>
                </a:ext>
              </a:extLst>
            </xdr:cNvPr>
            <xdr:cNvSpPr/>
          </xdr:nvSpPr>
          <xdr:spPr>
            <a:xfrm>
              <a:off x="429769" y="625221"/>
              <a:ext cx="365759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Nozare: Pēdējo 3 gadu vidējais svērtais</a:t>
              </a:r>
            </a:p>
            <a:p>
              <a:pPr algn="ctr"/>
              <a:r>
                <a:rPr lang="lv-LV" sz="1100">
                  <a:latin typeface="Arial" panose="020B0604020202020204" pitchFamily="34" charset="0"/>
                  <a:cs typeface="Arial" panose="020B0604020202020204" pitchFamily="34" charset="0"/>
                </a:rPr>
                <a:t>(75%)</a:t>
              </a:r>
              <a:endParaRPr lang="en-US" sz="1100">
                <a:latin typeface="Arial" panose="020B0604020202020204" pitchFamily="34" charset="0"/>
                <a:cs typeface="Arial" panose="020B0604020202020204" pitchFamily="34" charset="0"/>
              </a:endParaRPr>
            </a:p>
          </xdr:txBody>
        </xdr:sp>
        <xdr:sp macro="" textlink="">
          <xdr:nvSpPr>
            <xdr:cNvPr id="6" name="Rectangle 5">
              <a:extLst>
                <a:ext uri="{FF2B5EF4-FFF2-40B4-BE49-F238E27FC236}">
                  <a16:creationId xmlns:a16="http://schemas.microsoft.com/office/drawing/2014/main" id="{2BFA6C94-F91E-44D9-877B-9D85DDFD56E6}"/>
                </a:ext>
              </a:extLst>
            </xdr:cNvPr>
            <xdr:cNvSpPr/>
          </xdr:nvSpPr>
          <xdr:spPr>
            <a:xfrm>
              <a:off x="4087367" y="625221"/>
              <a:ext cx="1225297"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bg2">
                      <a:lumMod val="25000"/>
                    </a:schemeClr>
                  </a:solidFill>
                  <a:latin typeface="Arial" panose="020B0604020202020204" pitchFamily="34" charset="0"/>
                  <a:cs typeface="Arial" panose="020B0604020202020204" pitchFamily="34" charset="0"/>
                </a:rPr>
                <a:t>Salīdzināmo uzņēmumu mediāna (1-</a:t>
              </a:r>
              <a:r>
                <a:rPr lang="lv-LV" sz="1100" baseline="0">
                  <a:solidFill>
                    <a:schemeClr val="bg2">
                      <a:lumMod val="25000"/>
                    </a:schemeClr>
                  </a:solidFill>
                  <a:latin typeface="Arial" panose="020B0604020202020204" pitchFamily="34" charset="0"/>
                  <a:cs typeface="Arial" panose="020B0604020202020204" pitchFamily="34" charset="0"/>
                </a:rPr>
                <a:t>5 uzņēmumi) 25%</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7" name="Rectangle 6">
              <a:extLst>
                <a:ext uri="{FF2B5EF4-FFF2-40B4-BE49-F238E27FC236}">
                  <a16:creationId xmlns:a16="http://schemas.microsoft.com/office/drawing/2014/main" id="{5128599C-CD0D-4A3F-A786-A6240D8C2924}"/>
                </a:ext>
              </a:extLst>
            </xdr:cNvPr>
            <xdr:cNvSpPr/>
          </xdr:nvSpPr>
          <xdr:spPr>
            <a:xfrm>
              <a:off x="1655066" y="2840355"/>
              <a:ext cx="365759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bg2">
                      <a:lumMod val="25000"/>
                    </a:schemeClr>
                  </a:solidFill>
                  <a:latin typeface="Arial" panose="020B0604020202020204" pitchFamily="34" charset="0"/>
                  <a:cs typeface="Arial" panose="020B0604020202020204" pitchFamily="34" charset="0"/>
                </a:rPr>
                <a:t>Salīdzināmo uzņēmumu mediāna</a:t>
              </a:r>
              <a:endParaRPr lang="en-US" sz="1100">
                <a:solidFill>
                  <a:schemeClr val="bg2">
                    <a:lumMod val="25000"/>
                  </a:schemeClr>
                </a:solidFill>
                <a:latin typeface="Arial" panose="020B0604020202020204" pitchFamily="34" charset="0"/>
                <a:cs typeface="Arial" panose="020B0604020202020204" pitchFamily="34" charset="0"/>
              </a:endParaRPr>
            </a:p>
            <a:p>
              <a:pPr algn="ctr"/>
              <a:r>
                <a:rPr lang="lv-LV" sz="1100">
                  <a:solidFill>
                    <a:schemeClr val="bg2">
                      <a:lumMod val="25000"/>
                    </a:schemeClr>
                  </a:solidFill>
                  <a:latin typeface="Arial" panose="020B0604020202020204" pitchFamily="34" charset="0"/>
                  <a:cs typeface="Arial" panose="020B0604020202020204" pitchFamily="34" charset="0"/>
                </a:rPr>
                <a:t>(10+ salīdzināmie uzņēmumi)</a:t>
              </a:r>
            </a:p>
            <a:p>
              <a:pPr algn="ctr"/>
              <a:r>
                <a:rPr lang="lv-LV" sz="1100">
                  <a:solidFill>
                    <a:schemeClr val="bg2">
                      <a:lumMod val="25000"/>
                    </a:schemeClr>
                  </a:solidFill>
                  <a:latin typeface="Arial" panose="020B0604020202020204" pitchFamily="34" charset="0"/>
                  <a:cs typeface="Arial" panose="020B0604020202020204" pitchFamily="34" charset="0"/>
                </a:rPr>
                <a:t>75%</a:t>
              </a:r>
            </a:p>
          </xdr:txBody>
        </xdr:sp>
        <xdr:sp macro="" textlink="">
          <xdr:nvSpPr>
            <xdr:cNvPr id="8" name="Rectangle 7">
              <a:extLst>
                <a:ext uri="{FF2B5EF4-FFF2-40B4-BE49-F238E27FC236}">
                  <a16:creationId xmlns:a16="http://schemas.microsoft.com/office/drawing/2014/main" id="{8FEF608F-19ED-45EE-AFCA-EBF6E6AFD755}"/>
                </a:ext>
              </a:extLst>
            </xdr:cNvPr>
            <xdr:cNvSpPr/>
          </xdr:nvSpPr>
          <xdr:spPr>
            <a:xfrm>
              <a:off x="429769" y="2840355"/>
              <a:ext cx="1225297"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Nozare: Pēdējo 3 gadu vidējais svērtais</a:t>
              </a:r>
            </a:p>
            <a:p>
              <a:pPr algn="ctr"/>
              <a:r>
                <a:rPr lang="lv-LV" sz="1100">
                  <a:latin typeface="Arial" panose="020B0604020202020204" pitchFamily="34" charset="0"/>
                  <a:cs typeface="Arial" panose="020B0604020202020204" pitchFamily="34" charset="0"/>
                </a:rPr>
                <a:t>(25%)</a:t>
              </a:r>
              <a:endParaRPr lang="en-US" sz="1100">
                <a:latin typeface="Arial" panose="020B0604020202020204" pitchFamily="34" charset="0"/>
                <a:cs typeface="Arial" panose="020B0604020202020204" pitchFamily="34" charset="0"/>
              </a:endParaRPr>
            </a:p>
          </xdr:txBody>
        </xdr:sp>
      </xdr:grpSp>
      <xdr:sp macro="" textlink="">
        <xdr:nvSpPr>
          <xdr:cNvPr id="11" name="Oval 10">
            <a:extLst>
              <a:ext uri="{FF2B5EF4-FFF2-40B4-BE49-F238E27FC236}">
                <a16:creationId xmlns:a16="http://schemas.microsoft.com/office/drawing/2014/main" id="{D2D16CA0-20CC-4DD9-8F80-515214667C05}"/>
              </a:ext>
            </a:extLst>
          </xdr:cNvPr>
          <xdr:cNvSpPr/>
        </xdr:nvSpPr>
        <xdr:spPr>
          <a:xfrm>
            <a:off x="10294296" y="6486525"/>
            <a:ext cx="74518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VAI</a:t>
            </a:r>
          </a:p>
        </xdr:txBody>
      </xdr:sp>
      <xdr:sp macro="" textlink="">
        <xdr:nvSpPr>
          <xdr:cNvPr id="12" name="Oval 11">
            <a:extLst>
              <a:ext uri="{FF2B5EF4-FFF2-40B4-BE49-F238E27FC236}">
                <a16:creationId xmlns:a16="http://schemas.microsoft.com/office/drawing/2014/main" id="{5F591B15-FFC6-47F4-A68B-9EE4C3358BAC}"/>
              </a:ext>
            </a:extLst>
          </xdr:cNvPr>
          <xdr:cNvSpPr/>
        </xdr:nvSpPr>
        <xdr:spPr>
          <a:xfrm>
            <a:off x="10294296" y="7162800"/>
            <a:ext cx="74518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VAI</a:t>
            </a:r>
          </a:p>
        </xdr:txBody>
      </xdr:sp>
    </xdr:grpSp>
    <xdr:clientData/>
  </xdr:twoCellAnchor>
  <xdr:twoCellAnchor>
    <xdr:from>
      <xdr:col>9</xdr:col>
      <xdr:colOff>349249</xdr:colOff>
      <xdr:row>53</xdr:row>
      <xdr:rowOff>24091</xdr:rowOff>
    </xdr:from>
    <xdr:to>
      <xdr:col>13</xdr:col>
      <xdr:colOff>149225</xdr:colOff>
      <xdr:row>56</xdr:row>
      <xdr:rowOff>43141</xdr:rowOff>
    </xdr:to>
    <xdr:grpSp>
      <xdr:nvGrpSpPr>
        <xdr:cNvPr id="22" name="Group 21">
          <a:extLst>
            <a:ext uri="{FF2B5EF4-FFF2-40B4-BE49-F238E27FC236}">
              <a16:creationId xmlns:a16="http://schemas.microsoft.com/office/drawing/2014/main" id="{7FBA1CED-1D5A-484B-93C3-8B495579D644}"/>
            </a:ext>
          </a:extLst>
        </xdr:cNvPr>
        <xdr:cNvGrpSpPr/>
      </xdr:nvGrpSpPr>
      <xdr:grpSpPr>
        <a:xfrm>
          <a:off x="10451192" y="10441720"/>
          <a:ext cx="5765347" cy="541564"/>
          <a:chOff x="11410949" y="6734174"/>
          <a:chExt cx="5648326" cy="590550"/>
        </a:xfrm>
      </xdr:grpSpPr>
      <xdr:sp macro="" textlink="">
        <xdr:nvSpPr>
          <xdr:cNvPr id="16" name="Rectangle 15">
            <a:extLst>
              <a:ext uri="{FF2B5EF4-FFF2-40B4-BE49-F238E27FC236}">
                <a16:creationId xmlns:a16="http://schemas.microsoft.com/office/drawing/2014/main" id="{417BA44C-D4FA-490F-9899-E4983A5E5390}"/>
              </a:ext>
            </a:extLst>
          </xdr:cNvPr>
          <xdr:cNvSpPr/>
        </xdr:nvSpPr>
        <xdr:spPr>
          <a:xfrm>
            <a:off x="11410949" y="6781801"/>
            <a:ext cx="2238375" cy="533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latin typeface="Arial" panose="020B0604020202020204" pitchFamily="34" charset="0"/>
                <a:cs typeface="Arial" panose="020B0604020202020204" pitchFamily="34" charset="0"/>
              </a:rPr>
              <a:t>Nozare: Pēdējo 3 gadu vidējais svērtais</a:t>
            </a:r>
            <a:endParaRPr lang="en-US" sz="1100">
              <a:latin typeface="Arial" panose="020B0604020202020204" pitchFamily="34" charset="0"/>
              <a:cs typeface="Arial" panose="020B0604020202020204" pitchFamily="34" charset="0"/>
            </a:endParaRPr>
          </a:p>
        </xdr:txBody>
      </xdr:sp>
      <xdr:grpSp>
        <xdr:nvGrpSpPr>
          <xdr:cNvPr id="21" name="Group 20">
            <a:extLst>
              <a:ext uri="{FF2B5EF4-FFF2-40B4-BE49-F238E27FC236}">
                <a16:creationId xmlns:a16="http://schemas.microsoft.com/office/drawing/2014/main" id="{7485A27A-59BA-45FE-A761-ED36CBA14F82}"/>
              </a:ext>
            </a:extLst>
          </xdr:cNvPr>
          <xdr:cNvGrpSpPr/>
        </xdr:nvGrpSpPr>
        <xdr:grpSpPr>
          <a:xfrm>
            <a:off x="13820775" y="6781801"/>
            <a:ext cx="3238500" cy="533400"/>
            <a:chOff x="14277975" y="6781801"/>
            <a:chExt cx="2562226" cy="533400"/>
          </a:xfrm>
        </xdr:grpSpPr>
        <xdr:sp macro="" textlink="">
          <xdr:nvSpPr>
            <xdr:cNvPr id="17" name="Rectangle 16">
              <a:extLst>
                <a:ext uri="{FF2B5EF4-FFF2-40B4-BE49-F238E27FC236}">
                  <a16:creationId xmlns:a16="http://schemas.microsoft.com/office/drawing/2014/main" id="{0F4BAC2A-EFC7-43D5-A797-35EBA7092F15}"/>
                </a:ext>
              </a:extLst>
            </xdr:cNvPr>
            <xdr:cNvSpPr/>
          </xdr:nvSpPr>
          <xdr:spPr>
            <a:xfrm>
              <a:off x="14277975" y="6781801"/>
              <a:ext cx="1171575"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a:t>
              </a:r>
            </a:p>
            <a:p>
              <a:pPr algn="ctr"/>
              <a:r>
                <a:rPr lang="lv-LV" sz="1100">
                  <a:latin typeface="Arial" panose="020B0604020202020204" pitchFamily="34" charset="0"/>
                  <a:cs typeface="Arial" panose="020B0604020202020204" pitchFamily="34" charset="0"/>
                </a:rPr>
                <a:t>(50%)</a:t>
              </a:r>
              <a:endParaRPr lang="en-US" sz="1100">
                <a:latin typeface="Arial" panose="020B0604020202020204" pitchFamily="34" charset="0"/>
                <a:cs typeface="Arial" panose="020B0604020202020204" pitchFamily="34" charset="0"/>
              </a:endParaRPr>
            </a:p>
          </xdr:txBody>
        </xdr:sp>
        <xdr:sp macro="" textlink="">
          <xdr:nvSpPr>
            <xdr:cNvPr id="18" name="Rectangle 17">
              <a:extLst>
                <a:ext uri="{FF2B5EF4-FFF2-40B4-BE49-F238E27FC236}">
                  <a16:creationId xmlns:a16="http://schemas.microsoft.com/office/drawing/2014/main" id="{B5C02FC2-B29E-4F0B-A935-1E4A654817D2}"/>
                </a:ext>
              </a:extLst>
            </xdr:cNvPr>
            <xdr:cNvSpPr/>
          </xdr:nvSpPr>
          <xdr:spPr>
            <a:xfrm>
              <a:off x="15459076"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CY-1 (25%)</a:t>
              </a:r>
              <a:endParaRPr lang="en-US" sz="1100">
                <a:latin typeface="Arial" panose="020B0604020202020204" pitchFamily="34" charset="0"/>
                <a:cs typeface="Arial" panose="020B0604020202020204" pitchFamily="34" charset="0"/>
              </a:endParaRPr>
            </a:p>
          </xdr:txBody>
        </xdr:sp>
        <xdr:sp macro="" textlink="">
          <xdr:nvSpPr>
            <xdr:cNvPr id="19" name="Rectangle 18">
              <a:extLst>
                <a:ext uri="{FF2B5EF4-FFF2-40B4-BE49-F238E27FC236}">
                  <a16:creationId xmlns:a16="http://schemas.microsoft.com/office/drawing/2014/main" id="{A70DCA62-111D-4C3C-9066-11EFA4672E56}"/>
                </a:ext>
              </a:extLst>
            </xdr:cNvPr>
            <xdr:cNvSpPr/>
          </xdr:nvSpPr>
          <xdr:spPr>
            <a:xfrm>
              <a:off x="16154401"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CY-2 (25%)</a:t>
              </a:r>
              <a:endParaRPr lang="en-US" sz="1100">
                <a:latin typeface="Arial" panose="020B0604020202020204" pitchFamily="34" charset="0"/>
                <a:cs typeface="Arial" panose="020B0604020202020204" pitchFamily="34" charset="0"/>
              </a:endParaRPr>
            </a:p>
          </xdr:txBody>
        </xdr:sp>
      </xdr:grpSp>
      <xdr:sp macro="" textlink="">
        <xdr:nvSpPr>
          <xdr:cNvPr id="20" name="Oval 19">
            <a:extLst>
              <a:ext uri="{FF2B5EF4-FFF2-40B4-BE49-F238E27FC236}">
                <a16:creationId xmlns:a16="http://schemas.microsoft.com/office/drawing/2014/main" id="{C82819E2-AD11-4EB6-83B4-745677761A2F}"/>
              </a:ext>
            </a:extLst>
          </xdr:cNvPr>
          <xdr:cNvSpPr/>
        </xdr:nvSpPr>
        <xdr:spPr>
          <a:xfrm>
            <a:off x="13420724" y="6734174"/>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accent2"/>
                </a:solidFill>
                <a:latin typeface="Arial" panose="020B0604020202020204" pitchFamily="34" charset="0"/>
                <a:cs typeface="Arial" panose="020B0604020202020204" pitchFamily="34" charset="0"/>
              </a:rPr>
              <a:t>=</a:t>
            </a:r>
          </a:p>
        </xdr:txBody>
      </xdr:sp>
    </xdr:grpSp>
    <xdr:clientData/>
  </xdr:twoCellAnchor>
  <xdr:twoCellAnchor editAs="oneCell">
    <xdr:from>
      <xdr:col>5</xdr:col>
      <xdr:colOff>104775</xdr:colOff>
      <xdr:row>8</xdr:row>
      <xdr:rowOff>3174</xdr:rowOff>
    </xdr:from>
    <xdr:to>
      <xdr:col>7</xdr:col>
      <xdr:colOff>3102909</xdr:colOff>
      <xdr:row>23</xdr:row>
      <xdr:rowOff>125615</xdr:rowOff>
    </xdr:to>
    <xdr:pic>
      <xdr:nvPicPr>
        <xdr:cNvPr id="10" name="Picture 9">
          <a:extLst>
            <a:ext uri="{FF2B5EF4-FFF2-40B4-BE49-F238E27FC236}">
              <a16:creationId xmlns:a16="http://schemas.microsoft.com/office/drawing/2014/main" id="{025FF3C6-24E3-41E4-902C-144B093794CC}"/>
            </a:ext>
          </a:extLst>
        </xdr:cNvPr>
        <xdr:cNvPicPr>
          <a:picLocks noChangeAspect="1"/>
        </xdr:cNvPicPr>
      </xdr:nvPicPr>
      <xdr:blipFill>
        <a:blip xmlns:r="http://schemas.openxmlformats.org/officeDocument/2006/relationships" r:embed="rId1"/>
        <a:stretch>
          <a:fillRect/>
        </a:stretch>
      </xdr:blipFill>
      <xdr:spPr>
        <a:xfrm>
          <a:off x="1290108" y="1707091"/>
          <a:ext cx="7288742" cy="3117524"/>
        </a:xfrm>
        <a:prstGeom prst="rect">
          <a:avLst/>
        </a:prstGeom>
      </xdr:spPr>
    </xdr:pic>
    <xdr:clientData/>
  </xdr:twoCellAnchor>
  <xdr:twoCellAnchor editAs="oneCell">
    <xdr:from>
      <xdr:col>11</xdr:col>
      <xdr:colOff>95249</xdr:colOff>
      <xdr:row>7</xdr:row>
      <xdr:rowOff>253700</xdr:rowOff>
    </xdr:from>
    <xdr:to>
      <xdr:col>19</xdr:col>
      <xdr:colOff>533401</xdr:colOff>
      <xdr:row>13</xdr:row>
      <xdr:rowOff>68996</xdr:rowOff>
    </xdr:to>
    <xdr:pic>
      <xdr:nvPicPr>
        <xdr:cNvPr id="13" name="Picture 12">
          <a:extLst>
            <a:ext uri="{FF2B5EF4-FFF2-40B4-BE49-F238E27FC236}">
              <a16:creationId xmlns:a16="http://schemas.microsoft.com/office/drawing/2014/main" id="{F60ED05B-89A9-425B-AAE0-3D0F1125D841}"/>
            </a:ext>
          </a:extLst>
        </xdr:cNvPr>
        <xdr:cNvPicPr>
          <a:picLocks noChangeAspect="1"/>
        </xdr:cNvPicPr>
      </xdr:nvPicPr>
      <xdr:blipFill>
        <a:blip xmlns:r="http://schemas.openxmlformats.org/officeDocument/2006/relationships" r:embed="rId2"/>
        <a:stretch>
          <a:fillRect/>
        </a:stretch>
      </xdr:blipFill>
      <xdr:spPr>
        <a:xfrm>
          <a:off x="9334499" y="1606250"/>
          <a:ext cx="8477252" cy="1282146"/>
        </a:xfrm>
        <a:prstGeom prst="rect">
          <a:avLst/>
        </a:prstGeom>
      </xdr:spPr>
    </xdr:pic>
    <xdr:clientData/>
  </xdr:twoCellAnchor>
  <xdr:twoCellAnchor>
    <xdr:from>
      <xdr:col>8</xdr:col>
      <xdr:colOff>109568</xdr:colOff>
      <xdr:row>12</xdr:row>
      <xdr:rowOff>73025</xdr:rowOff>
    </xdr:from>
    <xdr:to>
      <xdr:col>15</xdr:col>
      <xdr:colOff>971550</xdr:colOff>
      <xdr:row>19</xdr:row>
      <xdr:rowOff>132479</xdr:rowOff>
    </xdr:to>
    <xdr:cxnSp macro="">
      <xdr:nvCxnSpPr>
        <xdr:cNvPr id="25" name="Connector: Elbow 24">
          <a:extLst>
            <a:ext uri="{FF2B5EF4-FFF2-40B4-BE49-F238E27FC236}">
              <a16:creationId xmlns:a16="http://schemas.microsoft.com/office/drawing/2014/main" id="{0F9BAB1C-B4FE-4E3C-AE0B-3483729B8D8A}"/>
            </a:ext>
          </a:extLst>
        </xdr:cNvPr>
        <xdr:cNvCxnSpPr>
          <a:cxnSpLocks/>
          <a:stCxn id="42" idx="6"/>
          <a:endCxn id="36" idx="6"/>
        </xdr:cNvCxnSpPr>
      </xdr:nvCxnSpPr>
      <xdr:spPr>
        <a:xfrm flipV="1">
          <a:off x="6607735" y="2941108"/>
          <a:ext cx="7973982" cy="1318871"/>
        </a:xfrm>
        <a:prstGeom prst="bentConnector3">
          <a:avLst>
            <a:gd name="adj1" fmla="val 102867"/>
          </a:avLst>
        </a:prstGeom>
        <a:ln>
          <a:headEnd type="triangle"/>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15</xdr:col>
      <xdr:colOff>485775</xdr:colOff>
      <xdr:row>11</xdr:row>
      <xdr:rowOff>228600</xdr:rowOff>
    </xdr:from>
    <xdr:to>
      <xdr:col>15</xdr:col>
      <xdr:colOff>971550</xdr:colOff>
      <xdr:row>12</xdr:row>
      <xdr:rowOff>171450</xdr:rowOff>
    </xdr:to>
    <xdr:sp macro="" textlink="">
      <xdr:nvSpPr>
        <xdr:cNvPr id="36" name="Oval 35">
          <a:extLst>
            <a:ext uri="{FF2B5EF4-FFF2-40B4-BE49-F238E27FC236}">
              <a16:creationId xmlns:a16="http://schemas.microsoft.com/office/drawing/2014/main" id="{014C12C5-FC29-4AAF-8C66-5F221DB8F5EE}"/>
            </a:ext>
          </a:extLst>
        </xdr:cNvPr>
        <xdr:cNvSpPr/>
      </xdr:nvSpPr>
      <xdr:spPr>
        <a:xfrm>
          <a:off x="13611225" y="2609850"/>
          <a:ext cx="485775" cy="2000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GB" sz="1100"/>
        </a:p>
      </xdr:txBody>
    </xdr:sp>
    <xdr:clientData/>
  </xdr:twoCellAnchor>
  <xdr:twoCellAnchor>
    <xdr:from>
      <xdr:col>7</xdr:col>
      <xdr:colOff>1360705</xdr:colOff>
      <xdr:row>19</xdr:row>
      <xdr:rowOff>31875</xdr:rowOff>
    </xdr:from>
    <xdr:to>
      <xdr:col>8</xdr:col>
      <xdr:colOff>109568</xdr:colOff>
      <xdr:row>20</xdr:row>
      <xdr:rowOff>53166</xdr:rowOff>
    </xdr:to>
    <xdr:sp macro="" textlink="">
      <xdr:nvSpPr>
        <xdr:cNvPr id="42" name="Oval 41">
          <a:extLst>
            <a:ext uri="{FF2B5EF4-FFF2-40B4-BE49-F238E27FC236}">
              <a16:creationId xmlns:a16="http://schemas.microsoft.com/office/drawing/2014/main" id="{B858B41D-F93D-4018-A352-1E3BF7DAD6E5}"/>
            </a:ext>
          </a:extLst>
        </xdr:cNvPr>
        <xdr:cNvSpPr/>
      </xdr:nvSpPr>
      <xdr:spPr>
        <a:xfrm>
          <a:off x="6123205" y="4159375"/>
          <a:ext cx="484530" cy="201208"/>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GB" sz="1100"/>
        </a:p>
      </xdr:txBody>
    </xdr:sp>
    <xdr:clientData/>
  </xdr:twoCellAnchor>
  <xdr:twoCellAnchor>
    <xdr:from>
      <xdr:col>4</xdr:col>
      <xdr:colOff>76199</xdr:colOff>
      <xdr:row>131</xdr:row>
      <xdr:rowOff>9524</xdr:rowOff>
    </xdr:from>
    <xdr:to>
      <xdr:col>13</xdr:col>
      <xdr:colOff>19050</xdr:colOff>
      <xdr:row>140</xdr:row>
      <xdr:rowOff>161925</xdr:rowOff>
    </xdr:to>
    <xdr:grpSp>
      <xdr:nvGrpSpPr>
        <xdr:cNvPr id="24" name="Group 23">
          <a:extLst>
            <a:ext uri="{FF2B5EF4-FFF2-40B4-BE49-F238E27FC236}">
              <a16:creationId xmlns:a16="http://schemas.microsoft.com/office/drawing/2014/main" id="{450D9A90-C489-42A7-8F0E-F52B0101C019}"/>
            </a:ext>
          </a:extLst>
        </xdr:cNvPr>
        <xdr:cNvGrpSpPr/>
      </xdr:nvGrpSpPr>
      <xdr:grpSpPr>
        <a:xfrm>
          <a:off x="1807028" y="24611238"/>
          <a:ext cx="14279336" cy="1719944"/>
          <a:chOff x="1228724" y="6191249"/>
          <a:chExt cx="9810751" cy="1866901"/>
        </a:xfrm>
      </xdr:grpSpPr>
      <xdr:grpSp>
        <xdr:nvGrpSpPr>
          <xdr:cNvPr id="26" name="Group 25">
            <a:extLst>
              <a:ext uri="{FF2B5EF4-FFF2-40B4-BE49-F238E27FC236}">
                <a16:creationId xmlns:a16="http://schemas.microsoft.com/office/drawing/2014/main" id="{D53BA3B9-F0C9-4463-A5AB-F20FBD77EC5C}"/>
              </a:ext>
            </a:extLst>
          </xdr:cNvPr>
          <xdr:cNvGrpSpPr/>
        </xdr:nvGrpSpPr>
        <xdr:grpSpPr>
          <a:xfrm>
            <a:off x="1228724" y="6191249"/>
            <a:ext cx="9553575" cy="1866901"/>
            <a:chOff x="429769" y="625221"/>
            <a:chExt cx="4882896" cy="3129534"/>
          </a:xfrm>
        </xdr:grpSpPr>
        <xdr:sp macro="" textlink="">
          <xdr:nvSpPr>
            <xdr:cNvPr id="29" name="Rectangle 28">
              <a:extLst>
                <a:ext uri="{FF2B5EF4-FFF2-40B4-BE49-F238E27FC236}">
                  <a16:creationId xmlns:a16="http://schemas.microsoft.com/office/drawing/2014/main" id="{DFF0E1D6-8B58-4766-A2E2-F8FEF311313A}"/>
                </a:ext>
              </a:extLst>
            </xdr:cNvPr>
            <xdr:cNvSpPr/>
          </xdr:nvSpPr>
          <xdr:spPr>
            <a:xfrm>
              <a:off x="429769" y="1733931"/>
              <a:ext cx="244144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Nozare: Pēdējo 3 gadu vidējais svērtais</a:t>
              </a:r>
              <a:endParaRPr lang="en-US" sz="1100">
                <a:latin typeface="Arial" panose="020B0604020202020204" pitchFamily="34" charset="0"/>
                <a:cs typeface="Arial" panose="020B0604020202020204" pitchFamily="34" charset="0"/>
              </a:endParaRPr>
            </a:p>
            <a:p>
              <a:pPr algn="ctr"/>
              <a:r>
                <a:rPr lang="lv-LV" sz="1100">
                  <a:latin typeface="Arial" panose="020B0604020202020204" pitchFamily="34" charset="0"/>
                  <a:cs typeface="Arial" panose="020B0604020202020204" pitchFamily="34" charset="0"/>
                </a:rPr>
                <a:t>(50%)</a:t>
              </a:r>
            </a:p>
          </xdr:txBody>
        </xdr:sp>
        <xdr:sp macro="" textlink="">
          <xdr:nvSpPr>
            <xdr:cNvPr id="30" name="Rectangle 29">
              <a:extLst>
                <a:ext uri="{FF2B5EF4-FFF2-40B4-BE49-F238E27FC236}">
                  <a16:creationId xmlns:a16="http://schemas.microsoft.com/office/drawing/2014/main" id="{E3FDD310-A581-4C97-88DD-A8855ED7F35B}"/>
                </a:ext>
              </a:extLst>
            </xdr:cNvPr>
            <xdr:cNvSpPr/>
          </xdr:nvSpPr>
          <xdr:spPr>
            <a:xfrm>
              <a:off x="2871217" y="1733931"/>
              <a:ext cx="244144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bg2">
                      <a:lumMod val="25000"/>
                    </a:schemeClr>
                  </a:solidFill>
                  <a:latin typeface="Arial" panose="020B0604020202020204" pitchFamily="34" charset="0"/>
                  <a:cs typeface="Arial" panose="020B0604020202020204" pitchFamily="34" charset="0"/>
                </a:rPr>
                <a:t>Salīdzināmo uzņēmumu grupas mediāna</a:t>
              </a:r>
              <a:endParaRPr lang="en-US" sz="1100">
                <a:solidFill>
                  <a:schemeClr val="bg2">
                    <a:lumMod val="25000"/>
                  </a:schemeClr>
                </a:solidFill>
                <a:latin typeface="Arial" panose="020B0604020202020204" pitchFamily="34" charset="0"/>
                <a:cs typeface="Arial" panose="020B0604020202020204" pitchFamily="34" charset="0"/>
              </a:endParaRPr>
            </a:p>
            <a:p>
              <a:pPr algn="ctr"/>
              <a:r>
                <a:rPr lang="lv-LV" sz="1100">
                  <a:solidFill>
                    <a:schemeClr val="bg2">
                      <a:lumMod val="25000"/>
                    </a:schemeClr>
                  </a:solidFill>
                  <a:latin typeface="Arial" panose="020B0604020202020204" pitchFamily="34" charset="0"/>
                  <a:cs typeface="Arial" panose="020B0604020202020204" pitchFamily="34" charset="0"/>
                </a:rPr>
                <a:t>(6 – 10 uzņēmumi) </a:t>
              </a:r>
            </a:p>
            <a:p>
              <a:pPr algn="ctr"/>
              <a:r>
                <a:rPr lang="lv-LV" sz="1100">
                  <a:solidFill>
                    <a:schemeClr val="bg2">
                      <a:lumMod val="25000"/>
                    </a:schemeClr>
                  </a:solidFill>
                  <a:latin typeface="Arial" panose="020B0604020202020204" pitchFamily="34" charset="0"/>
                  <a:cs typeface="Arial" panose="020B0604020202020204" pitchFamily="34" charset="0"/>
                </a:rPr>
                <a:t>50%</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31" name="Rectangle 30">
              <a:extLst>
                <a:ext uri="{FF2B5EF4-FFF2-40B4-BE49-F238E27FC236}">
                  <a16:creationId xmlns:a16="http://schemas.microsoft.com/office/drawing/2014/main" id="{18751D7F-76A5-4D6E-AA0E-992DB773E68F}"/>
                </a:ext>
              </a:extLst>
            </xdr:cNvPr>
            <xdr:cNvSpPr/>
          </xdr:nvSpPr>
          <xdr:spPr>
            <a:xfrm>
              <a:off x="429769" y="625221"/>
              <a:ext cx="365759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Nozare: Pēdējo trīs gadu vidējais svērtais</a:t>
              </a:r>
            </a:p>
            <a:p>
              <a:pPr algn="ctr"/>
              <a:r>
                <a:rPr lang="lv-LV" sz="1100">
                  <a:latin typeface="Arial" panose="020B0604020202020204" pitchFamily="34" charset="0"/>
                  <a:cs typeface="Arial" panose="020B0604020202020204" pitchFamily="34" charset="0"/>
                </a:rPr>
                <a:t>(75%)</a:t>
              </a:r>
              <a:endParaRPr lang="en-US" sz="1100">
                <a:latin typeface="Arial" panose="020B0604020202020204" pitchFamily="34" charset="0"/>
                <a:cs typeface="Arial" panose="020B0604020202020204" pitchFamily="34" charset="0"/>
              </a:endParaRPr>
            </a:p>
          </xdr:txBody>
        </xdr:sp>
        <xdr:sp macro="" textlink="">
          <xdr:nvSpPr>
            <xdr:cNvPr id="32" name="Rectangle 31">
              <a:extLst>
                <a:ext uri="{FF2B5EF4-FFF2-40B4-BE49-F238E27FC236}">
                  <a16:creationId xmlns:a16="http://schemas.microsoft.com/office/drawing/2014/main" id="{F2C1DAAE-F5C9-47A6-972D-330FA97A99BB}"/>
                </a:ext>
              </a:extLst>
            </xdr:cNvPr>
            <xdr:cNvSpPr/>
          </xdr:nvSpPr>
          <xdr:spPr>
            <a:xfrm>
              <a:off x="4087367" y="625221"/>
              <a:ext cx="1225297"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bg2">
                      <a:lumMod val="25000"/>
                    </a:schemeClr>
                  </a:solidFill>
                  <a:latin typeface="Arial" panose="020B0604020202020204" pitchFamily="34" charset="0"/>
                  <a:cs typeface="Arial" panose="020B0604020202020204" pitchFamily="34" charset="0"/>
                </a:rPr>
                <a:t>Salīdzināmo uzņēmumu grupas mediāna</a:t>
              </a:r>
              <a:endParaRPr lang="en-US" sz="1100">
                <a:solidFill>
                  <a:schemeClr val="bg2">
                    <a:lumMod val="25000"/>
                  </a:schemeClr>
                </a:solidFill>
                <a:latin typeface="Arial" panose="020B0604020202020204" pitchFamily="34" charset="0"/>
                <a:cs typeface="Arial" panose="020B0604020202020204" pitchFamily="34" charset="0"/>
              </a:endParaRPr>
            </a:p>
            <a:p>
              <a:pPr algn="ctr"/>
              <a:r>
                <a:rPr lang="lv-LV" sz="1100">
                  <a:solidFill>
                    <a:schemeClr val="bg2">
                      <a:lumMod val="25000"/>
                    </a:schemeClr>
                  </a:solidFill>
                  <a:latin typeface="Arial" panose="020B0604020202020204" pitchFamily="34" charset="0"/>
                  <a:cs typeface="Arial" panose="020B0604020202020204" pitchFamily="34" charset="0"/>
                </a:rPr>
                <a:t>(1 – 5 uzņēmumi)</a:t>
              </a:r>
            </a:p>
            <a:p>
              <a:pPr algn="ctr"/>
              <a:r>
                <a:rPr lang="lv-LV" sz="1100">
                  <a:solidFill>
                    <a:schemeClr val="bg2">
                      <a:lumMod val="25000"/>
                    </a:schemeClr>
                  </a:solidFill>
                  <a:latin typeface="Arial" panose="020B0604020202020204" pitchFamily="34" charset="0"/>
                  <a:cs typeface="Arial" panose="020B0604020202020204" pitchFamily="34" charset="0"/>
                </a:rPr>
                <a:t>25%</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33" name="Rectangle 32">
              <a:extLst>
                <a:ext uri="{FF2B5EF4-FFF2-40B4-BE49-F238E27FC236}">
                  <a16:creationId xmlns:a16="http://schemas.microsoft.com/office/drawing/2014/main" id="{FCCC206E-DC59-41DA-B052-B4EE7134891F}"/>
                </a:ext>
              </a:extLst>
            </xdr:cNvPr>
            <xdr:cNvSpPr/>
          </xdr:nvSpPr>
          <xdr:spPr>
            <a:xfrm>
              <a:off x="1655066" y="2840355"/>
              <a:ext cx="365759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bg2">
                      <a:lumMod val="25000"/>
                    </a:schemeClr>
                  </a:solidFill>
                  <a:latin typeface="Arial" panose="020B0604020202020204" pitchFamily="34" charset="0"/>
                  <a:cs typeface="Arial" panose="020B0604020202020204" pitchFamily="34" charset="0"/>
                </a:rPr>
                <a:t>Salīdzināmo uzņēmumu grupas mediāna</a:t>
              </a:r>
              <a:endParaRPr lang="en-US" sz="1100">
                <a:solidFill>
                  <a:schemeClr val="bg2">
                    <a:lumMod val="25000"/>
                  </a:schemeClr>
                </a:solidFill>
                <a:latin typeface="Arial" panose="020B0604020202020204" pitchFamily="34" charset="0"/>
                <a:cs typeface="Arial" panose="020B0604020202020204" pitchFamily="34" charset="0"/>
              </a:endParaRPr>
            </a:p>
            <a:p>
              <a:pPr algn="ctr"/>
              <a:r>
                <a:rPr lang="lv-LV" sz="1100">
                  <a:solidFill>
                    <a:schemeClr val="bg2">
                      <a:lumMod val="25000"/>
                    </a:schemeClr>
                  </a:solidFill>
                  <a:latin typeface="Arial" panose="020B0604020202020204" pitchFamily="34" charset="0"/>
                  <a:cs typeface="Arial" panose="020B0604020202020204" pitchFamily="34" charset="0"/>
                </a:rPr>
                <a:t>(10+ uzņēmumi)</a:t>
              </a:r>
            </a:p>
            <a:p>
              <a:pPr algn="ctr"/>
              <a:r>
                <a:rPr lang="lv-LV" sz="1100">
                  <a:solidFill>
                    <a:schemeClr val="bg2">
                      <a:lumMod val="25000"/>
                    </a:schemeClr>
                  </a:solidFill>
                  <a:latin typeface="Arial" panose="020B0604020202020204" pitchFamily="34" charset="0"/>
                  <a:cs typeface="Arial" panose="020B0604020202020204" pitchFamily="34" charset="0"/>
                </a:rPr>
                <a:t>75%</a:t>
              </a:r>
            </a:p>
          </xdr:txBody>
        </xdr:sp>
        <xdr:sp macro="" textlink="">
          <xdr:nvSpPr>
            <xdr:cNvPr id="34" name="Rectangle 33">
              <a:extLst>
                <a:ext uri="{FF2B5EF4-FFF2-40B4-BE49-F238E27FC236}">
                  <a16:creationId xmlns:a16="http://schemas.microsoft.com/office/drawing/2014/main" id="{AAD5C517-CE55-4A04-BC60-5136C7412DE6}"/>
                </a:ext>
              </a:extLst>
            </xdr:cNvPr>
            <xdr:cNvSpPr/>
          </xdr:nvSpPr>
          <xdr:spPr>
            <a:xfrm>
              <a:off x="429769" y="2840355"/>
              <a:ext cx="1225297"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Nozare: Pēdējo 3 gadu vidējais svērtais</a:t>
              </a:r>
            </a:p>
            <a:p>
              <a:pPr algn="ctr"/>
              <a:r>
                <a:rPr lang="lv-LV" sz="1100">
                  <a:latin typeface="Arial" panose="020B0604020202020204" pitchFamily="34" charset="0"/>
                  <a:cs typeface="Arial" panose="020B0604020202020204" pitchFamily="34" charset="0"/>
                </a:rPr>
                <a:t>(25%)</a:t>
              </a:r>
              <a:endParaRPr lang="en-US" sz="1100">
                <a:latin typeface="Arial" panose="020B0604020202020204" pitchFamily="34" charset="0"/>
                <a:cs typeface="Arial" panose="020B0604020202020204" pitchFamily="34" charset="0"/>
              </a:endParaRPr>
            </a:p>
          </xdr:txBody>
        </xdr:sp>
      </xdr:grpSp>
      <xdr:sp macro="" textlink="">
        <xdr:nvSpPr>
          <xdr:cNvPr id="27" name="Oval 26">
            <a:extLst>
              <a:ext uri="{FF2B5EF4-FFF2-40B4-BE49-F238E27FC236}">
                <a16:creationId xmlns:a16="http://schemas.microsoft.com/office/drawing/2014/main" id="{1938C859-3579-43ED-B00E-B6D72882E54A}"/>
              </a:ext>
            </a:extLst>
          </xdr:cNvPr>
          <xdr:cNvSpPr/>
        </xdr:nvSpPr>
        <xdr:spPr>
          <a:xfrm>
            <a:off x="10448925" y="6486525"/>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VAI</a:t>
            </a:r>
          </a:p>
        </xdr:txBody>
      </xdr:sp>
      <xdr:sp macro="" textlink="">
        <xdr:nvSpPr>
          <xdr:cNvPr id="28" name="Oval 27">
            <a:extLst>
              <a:ext uri="{FF2B5EF4-FFF2-40B4-BE49-F238E27FC236}">
                <a16:creationId xmlns:a16="http://schemas.microsoft.com/office/drawing/2014/main" id="{2CB4F2BE-C730-435B-A5DE-D35804839414}"/>
              </a:ext>
            </a:extLst>
          </xdr:cNvPr>
          <xdr:cNvSpPr/>
        </xdr:nvSpPr>
        <xdr:spPr>
          <a:xfrm>
            <a:off x="10448925" y="7162800"/>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VAI</a:t>
            </a:r>
          </a:p>
        </xdr:txBody>
      </xdr:sp>
    </xdr:grpSp>
    <xdr:clientData/>
  </xdr:twoCellAnchor>
  <xdr:twoCellAnchor>
    <xdr:from>
      <xdr:col>13</xdr:col>
      <xdr:colOff>666749</xdr:colOff>
      <xdr:row>133</xdr:row>
      <xdr:rowOff>180974</xdr:rowOff>
    </xdr:from>
    <xdr:to>
      <xdr:col>19</xdr:col>
      <xdr:colOff>85725</xdr:colOff>
      <xdr:row>137</xdr:row>
      <xdr:rowOff>9524</xdr:rowOff>
    </xdr:to>
    <xdr:grpSp>
      <xdr:nvGrpSpPr>
        <xdr:cNvPr id="35" name="Group 34">
          <a:extLst>
            <a:ext uri="{FF2B5EF4-FFF2-40B4-BE49-F238E27FC236}">
              <a16:creationId xmlns:a16="http://schemas.microsoft.com/office/drawing/2014/main" id="{42B29930-D894-4911-9BD7-79BC5C16D722}"/>
            </a:ext>
          </a:extLst>
        </xdr:cNvPr>
        <xdr:cNvGrpSpPr/>
      </xdr:nvGrpSpPr>
      <xdr:grpSpPr>
        <a:xfrm>
          <a:off x="16734063" y="25123411"/>
          <a:ext cx="5819776" cy="532856"/>
          <a:chOff x="11410949" y="6734174"/>
          <a:chExt cx="5648326" cy="590550"/>
        </a:xfrm>
      </xdr:grpSpPr>
      <xdr:sp macro="" textlink="">
        <xdr:nvSpPr>
          <xdr:cNvPr id="37" name="Rectangle 36">
            <a:extLst>
              <a:ext uri="{FF2B5EF4-FFF2-40B4-BE49-F238E27FC236}">
                <a16:creationId xmlns:a16="http://schemas.microsoft.com/office/drawing/2014/main" id="{A6A65A86-6722-4B6B-8BAE-763CDAD97111}"/>
              </a:ext>
            </a:extLst>
          </xdr:cNvPr>
          <xdr:cNvSpPr/>
        </xdr:nvSpPr>
        <xdr:spPr>
          <a:xfrm>
            <a:off x="11410949" y="6781801"/>
            <a:ext cx="2238375" cy="533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latin typeface="Arial" panose="020B0604020202020204" pitchFamily="34" charset="0"/>
                <a:cs typeface="Arial" panose="020B0604020202020204" pitchFamily="34" charset="0"/>
              </a:rPr>
              <a:t>Nozare: pēdējo 3 gadu vidējais</a:t>
            </a:r>
            <a:r>
              <a:rPr lang="lv-LV" sz="1100" baseline="0">
                <a:latin typeface="Arial" panose="020B0604020202020204" pitchFamily="34" charset="0"/>
                <a:cs typeface="Arial" panose="020B0604020202020204" pitchFamily="34" charset="0"/>
              </a:rPr>
              <a:t> svērtais</a:t>
            </a:r>
            <a:endParaRPr lang="en-US" sz="1100">
              <a:latin typeface="Arial" panose="020B0604020202020204" pitchFamily="34" charset="0"/>
              <a:cs typeface="Arial" panose="020B0604020202020204" pitchFamily="34" charset="0"/>
            </a:endParaRPr>
          </a:p>
        </xdr:txBody>
      </xdr:sp>
      <xdr:grpSp>
        <xdr:nvGrpSpPr>
          <xdr:cNvPr id="38" name="Group 37">
            <a:extLst>
              <a:ext uri="{FF2B5EF4-FFF2-40B4-BE49-F238E27FC236}">
                <a16:creationId xmlns:a16="http://schemas.microsoft.com/office/drawing/2014/main" id="{E25482D5-75E4-4C7C-AE0A-C17A8EA140CD}"/>
              </a:ext>
            </a:extLst>
          </xdr:cNvPr>
          <xdr:cNvGrpSpPr/>
        </xdr:nvGrpSpPr>
        <xdr:grpSpPr>
          <a:xfrm>
            <a:off x="13820775" y="6781801"/>
            <a:ext cx="3238500" cy="533400"/>
            <a:chOff x="14277975" y="6781801"/>
            <a:chExt cx="2562226" cy="533400"/>
          </a:xfrm>
        </xdr:grpSpPr>
        <xdr:sp macro="" textlink="">
          <xdr:nvSpPr>
            <xdr:cNvPr id="40" name="Rectangle 39">
              <a:extLst>
                <a:ext uri="{FF2B5EF4-FFF2-40B4-BE49-F238E27FC236}">
                  <a16:creationId xmlns:a16="http://schemas.microsoft.com/office/drawing/2014/main" id="{2E051D1A-73FA-4399-A872-5294FF853E98}"/>
                </a:ext>
              </a:extLst>
            </xdr:cNvPr>
            <xdr:cNvSpPr/>
          </xdr:nvSpPr>
          <xdr:spPr>
            <a:xfrm>
              <a:off x="14277975" y="6781801"/>
              <a:ext cx="1171575"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a:t>
              </a:r>
            </a:p>
            <a:p>
              <a:pPr algn="ctr"/>
              <a:r>
                <a:rPr lang="lv-LV" sz="1100">
                  <a:latin typeface="Arial" panose="020B0604020202020204" pitchFamily="34" charset="0"/>
                  <a:cs typeface="Arial" panose="020B0604020202020204" pitchFamily="34" charset="0"/>
                </a:rPr>
                <a:t>(50%)</a:t>
              </a:r>
              <a:endParaRPr lang="en-US" sz="1100">
                <a:latin typeface="Arial" panose="020B0604020202020204" pitchFamily="34" charset="0"/>
                <a:cs typeface="Arial" panose="020B0604020202020204" pitchFamily="34" charset="0"/>
              </a:endParaRPr>
            </a:p>
          </xdr:txBody>
        </xdr:sp>
        <xdr:sp macro="" textlink="">
          <xdr:nvSpPr>
            <xdr:cNvPr id="41" name="Rectangle 40">
              <a:extLst>
                <a:ext uri="{FF2B5EF4-FFF2-40B4-BE49-F238E27FC236}">
                  <a16:creationId xmlns:a16="http://schemas.microsoft.com/office/drawing/2014/main" id="{E25462B7-A006-47A4-9CF7-4A74701F0861}"/>
                </a:ext>
              </a:extLst>
            </xdr:cNvPr>
            <xdr:cNvSpPr/>
          </xdr:nvSpPr>
          <xdr:spPr>
            <a:xfrm>
              <a:off x="15459076"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CY-1 (25%)</a:t>
              </a:r>
              <a:endParaRPr lang="en-US" sz="1100">
                <a:latin typeface="Arial" panose="020B0604020202020204" pitchFamily="34" charset="0"/>
                <a:cs typeface="Arial" panose="020B0604020202020204" pitchFamily="34" charset="0"/>
              </a:endParaRPr>
            </a:p>
          </xdr:txBody>
        </xdr:sp>
        <xdr:sp macro="" textlink="">
          <xdr:nvSpPr>
            <xdr:cNvPr id="43" name="Rectangle 42">
              <a:extLst>
                <a:ext uri="{FF2B5EF4-FFF2-40B4-BE49-F238E27FC236}">
                  <a16:creationId xmlns:a16="http://schemas.microsoft.com/office/drawing/2014/main" id="{E09CB83A-809F-4BB5-B115-94E8B2B734E5}"/>
                </a:ext>
              </a:extLst>
            </xdr:cNvPr>
            <xdr:cNvSpPr/>
          </xdr:nvSpPr>
          <xdr:spPr>
            <a:xfrm>
              <a:off x="16154401"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CY-2 (25%)</a:t>
              </a:r>
              <a:endParaRPr lang="en-US" sz="1100">
                <a:latin typeface="Arial" panose="020B0604020202020204" pitchFamily="34" charset="0"/>
                <a:cs typeface="Arial" panose="020B0604020202020204" pitchFamily="34" charset="0"/>
              </a:endParaRPr>
            </a:p>
          </xdr:txBody>
        </xdr:sp>
      </xdr:grpSp>
      <xdr:sp macro="" textlink="">
        <xdr:nvSpPr>
          <xdr:cNvPr id="39" name="Oval 38">
            <a:extLst>
              <a:ext uri="{FF2B5EF4-FFF2-40B4-BE49-F238E27FC236}">
                <a16:creationId xmlns:a16="http://schemas.microsoft.com/office/drawing/2014/main" id="{FA4A6587-7390-4D12-9AC1-550D03FEEB6A}"/>
              </a:ext>
            </a:extLst>
          </xdr:cNvPr>
          <xdr:cNvSpPr/>
        </xdr:nvSpPr>
        <xdr:spPr>
          <a:xfrm>
            <a:off x="13420724" y="6734174"/>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accent2"/>
                </a:solidFill>
                <a:latin typeface="Arial" panose="020B0604020202020204" pitchFamily="34" charset="0"/>
                <a:cs typeface="Arial" panose="020B0604020202020204" pitchFamily="34" charset="0"/>
              </a:rPr>
              <a:t>=</a:t>
            </a:r>
          </a:p>
        </xdr:txBody>
      </xdr:sp>
    </xdr:grpSp>
    <xdr:clientData/>
  </xdr:twoCellAnchor>
  <xdr:twoCellAnchor>
    <xdr:from>
      <xdr:col>9</xdr:col>
      <xdr:colOff>349248</xdr:colOff>
      <xdr:row>57</xdr:row>
      <xdr:rowOff>46502</xdr:rowOff>
    </xdr:from>
    <xdr:to>
      <xdr:col>13</xdr:col>
      <xdr:colOff>138019</xdr:colOff>
      <xdr:row>60</xdr:row>
      <xdr:rowOff>65552</xdr:rowOff>
    </xdr:to>
    <xdr:grpSp>
      <xdr:nvGrpSpPr>
        <xdr:cNvPr id="51" name="Group 50">
          <a:extLst>
            <a:ext uri="{FF2B5EF4-FFF2-40B4-BE49-F238E27FC236}">
              <a16:creationId xmlns:a16="http://schemas.microsoft.com/office/drawing/2014/main" id="{91D690C7-2C68-4E16-B816-078CC0AB0E9B}"/>
            </a:ext>
          </a:extLst>
        </xdr:cNvPr>
        <xdr:cNvGrpSpPr/>
      </xdr:nvGrpSpPr>
      <xdr:grpSpPr>
        <a:xfrm>
          <a:off x="10451191" y="11160816"/>
          <a:ext cx="5754142" cy="541565"/>
          <a:chOff x="11410949" y="6734174"/>
          <a:chExt cx="5637168" cy="590550"/>
        </a:xfrm>
      </xdr:grpSpPr>
      <xdr:sp macro="" textlink="">
        <xdr:nvSpPr>
          <xdr:cNvPr id="52" name="Rectangle 51">
            <a:extLst>
              <a:ext uri="{FF2B5EF4-FFF2-40B4-BE49-F238E27FC236}">
                <a16:creationId xmlns:a16="http://schemas.microsoft.com/office/drawing/2014/main" id="{20D6052D-3D34-4F91-9378-7C8EEDC2CB6E}"/>
              </a:ext>
            </a:extLst>
          </xdr:cNvPr>
          <xdr:cNvSpPr/>
        </xdr:nvSpPr>
        <xdr:spPr>
          <a:xfrm>
            <a:off x="11410949" y="6781801"/>
            <a:ext cx="2238375" cy="533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tx1"/>
                </a:solidFill>
                <a:latin typeface="Arial" panose="020B0604020202020204" pitchFamily="34" charset="0"/>
                <a:cs typeface="Arial" panose="020B0604020202020204" pitchFamily="34" charset="0"/>
              </a:rPr>
              <a:t>Salīdzināmo uzņēmumu grupa: Pēdējo</a:t>
            </a:r>
            <a:r>
              <a:rPr lang="lv-LV" sz="1100" baseline="0">
                <a:solidFill>
                  <a:schemeClr val="tx1"/>
                </a:solidFill>
                <a:latin typeface="Arial" panose="020B0604020202020204" pitchFamily="34" charset="0"/>
                <a:cs typeface="Arial" panose="020B0604020202020204" pitchFamily="34" charset="0"/>
              </a:rPr>
              <a:t> 3 gadu vidējā mediāna</a:t>
            </a:r>
            <a:endParaRPr lang="en-US" sz="1100">
              <a:solidFill>
                <a:schemeClr val="tx1"/>
              </a:solidFill>
              <a:latin typeface="Arial" panose="020B0604020202020204" pitchFamily="34" charset="0"/>
              <a:cs typeface="Arial" panose="020B0604020202020204" pitchFamily="34" charset="0"/>
            </a:endParaRPr>
          </a:p>
        </xdr:txBody>
      </xdr:sp>
      <xdr:grpSp>
        <xdr:nvGrpSpPr>
          <xdr:cNvPr id="53" name="Group 52">
            <a:extLst>
              <a:ext uri="{FF2B5EF4-FFF2-40B4-BE49-F238E27FC236}">
                <a16:creationId xmlns:a16="http://schemas.microsoft.com/office/drawing/2014/main" id="{223BF7D1-927E-4BDB-B279-BD13FEF59FD6}"/>
              </a:ext>
            </a:extLst>
          </xdr:cNvPr>
          <xdr:cNvGrpSpPr/>
        </xdr:nvGrpSpPr>
        <xdr:grpSpPr>
          <a:xfrm>
            <a:off x="13820774" y="6781801"/>
            <a:ext cx="3227343" cy="533400"/>
            <a:chOff x="14277975" y="6781801"/>
            <a:chExt cx="2553399" cy="533400"/>
          </a:xfrm>
        </xdr:grpSpPr>
        <xdr:sp macro="" textlink="">
          <xdr:nvSpPr>
            <xdr:cNvPr id="55" name="Rectangle 54">
              <a:extLst>
                <a:ext uri="{FF2B5EF4-FFF2-40B4-BE49-F238E27FC236}">
                  <a16:creationId xmlns:a16="http://schemas.microsoft.com/office/drawing/2014/main" id="{39F6A49B-6B5E-4D7A-9575-A08673985456}"/>
                </a:ext>
              </a:extLst>
            </xdr:cNvPr>
            <xdr:cNvSpPr/>
          </xdr:nvSpPr>
          <xdr:spPr>
            <a:xfrm>
              <a:off x="14277975" y="6781801"/>
              <a:ext cx="896626"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 </a:t>
              </a:r>
              <a:endParaRPr lang="en-US" sz="1100">
                <a:latin typeface="Arial" panose="020B0604020202020204" pitchFamily="34" charset="0"/>
                <a:cs typeface="Arial" panose="020B0604020202020204" pitchFamily="34" charset="0"/>
              </a:endParaRPr>
            </a:p>
          </xdr:txBody>
        </xdr:sp>
        <xdr:sp macro="" textlink="">
          <xdr:nvSpPr>
            <xdr:cNvPr id="56" name="Rectangle 55">
              <a:extLst>
                <a:ext uri="{FF2B5EF4-FFF2-40B4-BE49-F238E27FC236}">
                  <a16:creationId xmlns:a16="http://schemas.microsoft.com/office/drawing/2014/main" id="{DABB6BC7-9D4D-41E8-BBED-E8E0BA69ED9F}"/>
                </a:ext>
              </a:extLst>
            </xdr:cNvPr>
            <xdr:cNvSpPr/>
          </xdr:nvSpPr>
          <xdr:spPr>
            <a:xfrm>
              <a:off x="15183430" y="6781801"/>
              <a:ext cx="802524"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CY-1 </a:t>
              </a:r>
              <a:endParaRPr lang="en-US" sz="1100">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6EC3F9EA-8934-439E-8619-4927A69F39FB}"/>
                </a:ext>
              </a:extLst>
            </xdr:cNvPr>
            <xdr:cNvSpPr/>
          </xdr:nvSpPr>
          <xdr:spPr>
            <a:xfrm>
              <a:off x="15995704" y="6781801"/>
              <a:ext cx="83567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CY-2</a:t>
              </a:r>
              <a:endParaRPr lang="en-US" sz="1100">
                <a:latin typeface="Arial" panose="020B0604020202020204" pitchFamily="34" charset="0"/>
                <a:cs typeface="Arial" panose="020B0604020202020204" pitchFamily="34" charset="0"/>
              </a:endParaRPr>
            </a:p>
          </xdr:txBody>
        </xdr:sp>
      </xdr:grpSp>
      <xdr:sp macro="" textlink="">
        <xdr:nvSpPr>
          <xdr:cNvPr id="54" name="Oval 53">
            <a:extLst>
              <a:ext uri="{FF2B5EF4-FFF2-40B4-BE49-F238E27FC236}">
                <a16:creationId xmlns:a16="http://schemas.microsoft.com/office/drawing/2014/main" id="{A1B41161-9502-40EE-94D4-9717F15BA497}"/>
              </a:ext>
            </a:extLst>
          </xdr:cNvPr>
          <xdr:cNvSpPr/>
        </xdr:nvSpPr>
        <xdr:spPr>
          <a:xfrm>
            <a:off x="13420724" y="6734174"/>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accent2"/>
                </a:solidFill>
                <a:latin typeface="Arial" panose="020B0604020202020204" pitchFamily="34" charset="0"/>
                <a:cs typeface="Arial" panose="020B0604020202020204" pitchFamily="34" charset="0"/>
              </a:rPr>
              <a:t>=</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57149</xdr:colOff>
      <xdr:row>14</xdr:row>
      <xdr:rowOff>85725</xdr:rowOff>
    </xdr:from>
    <xdr:to>
      <xdr:col>15</xdr:col>
      <xdr:colOff>19049</xdr:colOff>
      <xdr:row>33</xdr:row>
      <xdr:rowOff>123825</xdr:rowOff>
    </xdr:to>
    <xdr:graphicFrame macro="">
      <xdr:nvGraphicFramePr>
        <xdr:cNvPr id="3" name="Chart COM_CS1">
          <a:extLst>
            <a:ext uri="{FF2B5EF4-FFF2-40B4-BE49-F238E27FC236}">
              <a16:creationId xmlns:a16="http://schemas.microsoft.com/office/drawing/2014/main" id="{1AEEAC09-8BFD-4755-A7CA-BA2D72741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85725</xdr:colOff>
      <xdr:row>46</xdr:row>
      <xdr:rowOff>19048</xdr:rowOff>
    </xdr:from>
    <xdr:to>
      <xdr:col>6</xdr:col>
      <xdr:colOff>525150</xdr:colOff>
      <xdr:row>72</xdr:row>
      <xdr:rowOff>171450</xdr:rowOff>
    </xdr:to>
    <xdr:graphicFrame macro="">
      <xdr:nvGraphicFramePr>
        <xdr:cNvPr id="8" name="Chart COM_RT2">
          <a:extLst>
            <a:ext uri="{FF2B5EF4-FFF2-40B4-BE49-F238E27FC236}">
              <a16:creationId xmlns:a16="http://schemas.microsoft.com/office/drawing/2014/main" id="{8E711295-F220-429D-BACF-638A50EB3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45</xdr:row>
      <xdr:rowOff>152398</xdr:rowOff>
    </xdr:from>
    <xdr:to>
      <xdr:col>15</xdr:col>
      <xdr:colOff>571500</xdr:colOff>
      <xdr:row>73</xdr:row>
      <xdr:rowOff>0</xdr:rowOff>
    </xdr:to>
    <xdr:graphicFrame macro="">
      <xdr:nvGraphicFramePr>
        <xdr:cNvPr id="4" name="Chart COM_RT3">
          <a:extLst>
            <a:ext uri="{FF2B5EF4-FFF2-40B4-BE49-F238E27FC236}">
              <a16:creationId xmlns:a16="http://schemas.microsoft.com/office/drawing/2014/main" id="{15897750-FD8D-41DB-9DDD-0BD349634D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257175</xdr:colOff>
      <xdr:row>46</xdr:row>
      <xdr:rowOff>47623</xdr:rowOff>
    </xdr:from>
    <xdr:to>
      <xdr:col>24</xdr:col>
      <xdr:colOff>429900</xdr:colOff>
      <xdr:row>72</xdr:row>
      <xdr:rowOff>142874</xdr:rowOff>
    </xdr:to>
    <xdr:graphicFrame macro="">
      <xdr:nvGraphicFramePr>
        <xdr:cNvPr id="5" name="Chart COM_RT4">
          <a:extLst>
            <a:ext uri="{FF2B5EF4-FFF2-40B4-BE49-F238E27FC236}">
              <a16:creationId xmlns:a16="http://schemas.microsoft.com/office/drawing/2014/main" id="{63F6901F-92A8-4C4D-A97F-B7273C5734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16</xdr:row>
      <xdr:rowOff>19050</xdr:rowOff>
    </xdr:from>
    <xdr:to>
      <xdr:col>15</xdr:col>
      <xdr:colOff>19050</xdr:colOff>
      <xdr:row>35</xdr:row>
      <xdr:rowOff>57150</xdr:rowOff>
    </xdr:to>
    <xdr:graphicFrame macro="">
      <xdr:nvGraphicFramePr>
        <xdr:cNvPr id="2" name="Chart COM_DP2">
          <a:extLst>
            <a:ext uri="{FF2B5EF4-FFF2-40B4-BE49-F238E27FC236}">
              <a16:creationId xmlns:a16="http://schemas.microsoft.com/office/drawing/2014/main" id="{B3A0A26E-1CF4-43EF-B5D2-58B010359F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11206</xdr:colOff>
      <xdr:row>6</xdr:row>
      <xdr:rowOff>11206</xdr:rowOff>
    </xdr:from>
    <xdr:to>
      <xdr:col>25</xdr:col>
      <xdr:colOff>11206</xdr:colOff>
      <xdr:row>22</xdr:row>
      <xdr:rowOff>168087</xdr:rowOff>
    </xdr:to>
    <xdr:graphicFrame macro="">
      <xdr:nvGraphicFramePr>
        <xdr:cNvPr id="7" name="Chart COM_CS1">
          <a:extLst>
            <a:ext uri="{FF2B5EF4-FFF2-40B4-BE49-F238E27FC236}">
              <a16:creationId xmlns:a16="http://schemas.microsoft.com/office/drawing/2014/main" id="{1005CE05-94AB-4DBA-BF88-4F9AD2DAC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22412</xdr:colOff>
      <xdr:row>24</xdr:row>
      <xdr:rowOff>190499</xdr:rowOff>
    </xdr:from>
    <xdr:to>
      <xdr:col>11</xdr:col>
      <xdr:colOff>19765</xdr:colOff>
      <xdr:row>53</xdr:row>
      <xdr:rowOff>156881</xdr:rowOff>
    </xdr:to>
    <xdr:graphicFrame macro="">
      <xdr:nvGraphicFramePr>
        <xdr:cNvPr id="13" name="Chart COM_RT2">
          <a:extLst>
            <a:ext uri="{FF2B5EF4-FFF2-40B4-BE49-F238E27FC236}">
              <a16:creationId xmlns:a16="http://schemas.microsoft.com/office/drawing/2014/main" id="{4CFE9A34-B681-4DCB-AAEA-79CFF4505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33617</xdr:colOff>
      <xdr:row>24</xdr:row>
      <xdr:rowOff>190499</xdr:rowOff>
    </xdr:from>
    <xdr:to>
      <xdr:col>17</xdr:col>
      <xdr:colOff>829236</xdr:colOff>
      <xdr:row>53</xdr:row>
      <xdr:rowOff>123264</xdr:rowOff>
    </xdr:to>
    <xdr:graphicFrame macro="">
      <xdr:nvGraphicFramePr>
        <xdr:cNvPr id="14" name="Chart COM_RT3">
          <a:extLst>
            <a:ext uri="{FF2B5EF4-FFF2-40B4-BE49-F238E27FC236}">
              <a16:creationId xmlns:a16="http://schemas.microsoft.com/office/drawing/2014/main" id="{7958DE8F-23F4-44BA-B86E-F7B9ADC56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829235</xdr:colOff>
      <xdr:row>24</xdr:row>
      <xdr:rowOff>190499</xdr:rowOff>
    </xdr:from>
    <xdr:to>
      <xdr:col>24</xdr:col>
      <xdr:colOff>818029</xdr:colOff>
      <xdr:row>53</xdr:row>
      <xdr:rowOff>168087</xdr:rowOff>
    </xdr:to>
    <xdr:graphicFrame macro="">
      <xdr:nvGraphicFramePr>
        <xdr:cNvPr id="15" name="Chart COM_RT4">
          <a:extLst>
            <a:ext uri="{FF2B5EF4-FFF2-40B4-BE49-F238E27FC236}">
              <a16:creationId xmlns:a16="http://schemas.microsoft.com/office/drawing/2014/main" id="{7903BEB9-2902-4706-97FF-590C06F502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22412</xdr:colOff>
      <xdr:row>55</xdr:row>
      <xdr:rowOff>11206</xdr:rowOff>
    </xdr:from>
    <xdr:to>
      <xdr:col>24</xdr:col>
      <xdr:colOff>818029</xdr:colOff>
      <xdr:row>71</xdr:row>
      <xdr:rowOff>166500</xdr:rowOff>
    </xdr:to>
    <xdr:graphicFrame macro="">
      <xdr:nvGraphicFramePr>
        <xdr:cNvPr id="16" name="Chart COM_DP2">
          <a:extLst>
            <a:ext uri="{FF2B5EF4-FFF2-40B4-BE49-F238E27FC236}">
              <a16:creationId xmlns:a16="http://schemas.microsoft.com/office/drawing/2014/main" id="{A68E560E-EBB2-43FA-B967-F6F1345A5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76199</xdr:colOff>
      <xdr:row>77</xdr:row>
      <xdr:rowOff>9524</xdr:rowOff>
    </xdr:from>
    <xdr:to>
      <xdr:col>13</xdr:col>
      <xdr:colOff>19050</xdr:colOff>
      <xdr:row>86</xdr:row>
      <xdr:rowOff>161925</xdr:rowOff>
    </xdr:to>
    <xdr:grpSp>
      <xdr:nvGrpSpPr>
        <xdr:cNvPr id="2" name="Group 1">
          <a:extLst>
            <a:ext uri="{FF2B5EF4-FFF2-40B4-BE49-F238E27FC236}">
              <a16:creationId xmlns:a16="http://schemas.microsoft.com/office/drawing/2014/main" id="{42BB90AC-9408-4E3C-9881-E610C17D506E}"/>
            </a:ext>
          </a:extLst>
        </xdr:cNvPr>
        <xdr:cNvGrpSpPr/>
      </xdr:nvGrpSpPr>
      <xdr:grpSpPr>
        <a:xfrm>
          <a:off x="1205752" y="14424771"/>
          <a:ext cx="10700498" cy="1766048"/>
          <a:chOff x="1228724" y="6191249"/>
          <a:chExt cx="9810751" cy="1866901"/>
        </a:xfrm>
      </xdr:grpSpPr>
      <xdr:grpSp>
        <xdr:nvGrpSpPr>
          <xdr:cNvPr id="3" name="Group 2">
            <a:extLst>
              <a:ext uri="{FF2B5EF4-FFF2-40B4-BE49-F238E27FC236}">
                <a16:creationId xmlns:a16="http://schemas.microsoft.com/office/drawing/2014/main" id="{94702132-EDF8-43A3-B064-86AD7FDF96B4}"/>
              </a:ext>
            </a:extLst>
          </xdr:cNvPr>
          <xdr:cNvGrpSpPr/>
        </xdr:nvGrpSpPr>
        <xdr:grpSpPr>
          <a:xfrm>
            <a:off x="1228724" y="6191249"/>
            <a:ext cx="9553575" cy="1866901"/>
            <a:chOff x="429769" y="625221"/>
            <a:chExt cx="4882896" cy="3129534"/>
          </a:xfrm>
        </xdr:grpSpPr>
        <xdr:sp macro="" textlink="">
          <xdr:nvSpPr>
            <xdr:cNvPr id="6" name="Rectangle 5">
              <a:extLst>
                <a:ext uri="{FF2B5EF4-FFF2-40B4-BE49-F238E27FC236}">
                  <a16:creationId xmlns:a16="http://schemas.microsoft.com/office/drawing/2014/main" id="{569F55E5-DAE1-4ADA-8827-0BB3AADE2D05}"/>
                </a:ext>
              </a:extLst>
            </xdr:cNvPr>
            <xdr:cNvSpPr/>
          </xdr:nvSpPr>
          <xdr:spPr>
            <a:xfrm>
              <a:off x="429769" y="1733931"/>
              <a:ext cx="244144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p>
            <a:p>
              <a:pPr algn="ctr"/>
              <a:r>
                <a:rPr lang="lv-LV" sz="1100">
                  <a:latin typeface="Arial" panose="020B0604020202020204" pitchFamily="34" charset="0"/>
                  <a:cs typeface="Arial" panose="020B0604020202020204" pitchFamily="34" charset="0"/>
                </a:rPr>
                <a:t>(50%)</a:t>
              </a:r>
            </a:p>
          </xdr:txBody>
        </xdr:sp>
        <xdr:sp macro="" textlink="">
          <xdr:nvSpPr>
            <xdr:cNvPr id="7" name="Rectangle 6">
              <a:extLst>
                <a:ext uri="{FF2B5EF4-FFF2-40B4-BE49-F238E27FC236}">
                  <a16:creationId xmlns:a16="http://schemas.microsoft.com/office/drawing/2014/main" id="{2D822132-2C1A-4EF7-BADF-35E61C585925}"/>
                </a:ext>
              </a:extLst>
            </xdr:cNvPr>
            <xdr:cNvSpPr/>
          </xdr:nvSpPr>
          <xdr:spPr>
            <a:xfrm>
              <a:off x="2871217" y="1733931"/>
              <a:ext cx="244144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(6 – 10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 </a:t>
              </a:r>
            </a:p>
            <a:p>
              <a:pPr algn="ctr"/>
              <a:r>
                <a:rPr lang="lv-LV" sz="1100">
                  <a:solidFill>
                    <a:schemeClr val="bg2">
                      <a:lumMod val="25000"/>
                    </a:schemeClr>
                  </a:solidFill>
                  <a:latin typeface="Arial" panose="020B0604020202020204" pitchFamily="34" charset="0"/>
                  <a:cs typeface="Arial" panose="020B0604020202020204" pitchFamily="34" charset="0"/>
                </a:rPr>
                <a:t>50%</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8" name="Rectangle 7">
              <a:extLst>
                <a:ext uri="{FF2B5EF4-FFF2-40B4-BE49-F238E27FC236}">
                  <a16:creationId xmlns:a16="http://schemas.microsoft.com/office/drawing/2014/main" id="{D472726A-47BD-4B25-B486-536B89F7492C}"/>
                </a:ext>
              </a:extLst>
            </xdr:cNvPr>
            <xdr:cNvSpPr/>
          </xdr:nvSpPr>
          <xdr:spPr>
            <a:xfrm>
              <a:off x="429769" y="625221"/>
              <a:ext cx="365759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p>
            <a:p>
              <a:pPr algn="ctr"/>
              <a:r>
                <a:rPr lang="lv-LV" sz="1100">
                  <a:latin typeface="Arial" panose="020B0604020202020204" pitchFamily="34" charset="0"/>
                  <a:cs typeface="Arial" panose="020B0604020202020204" pitchFamily="34" charset="0"/>
                </a:rPr>
                <a:t>(75%)</a:t>
              </a:r>
              <a:endParaRPr lang="en-US" sz="1100">
                <a:latin typeface="Arial" panose="020B0604020202020204" pitchFamily="34" charset="0"/>
                <a:cs typeface="Arial" panose="020B0604020202020204" pitchFamily="34" charset="0"/>
              </a:endParaRPr>
            </a:p>
          </xdr:txBody>
        </xdr:sp>
        <xdr:sp macro="" textlink="">
          <xdr:nvSpPr>
            <xdr:cNvPr id="9" name="Rectangle 8">
              <a:extLst>
                <a:ext uri="{FF2B5EF4-FFF2-40B4-BE49-F238E27FC236}">
                  <a16:creationId xmlns:a16="http://schemas.microsoft.com/office/drawing/2014/main" id="{E853E0C5-15FD-400E-8088-8CB41956EC1E}"/>
                </a:ext>
              </a:extLst>
            </xdr:cNvPr>
            <xdr:cNvSpPr/>
          </xdr:nvSpPr>
          <xdr:spPr>
            <a:xfrm>
              <a:off x="4087367" y="625221"/>
              <a:ext cx="1225297"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(1 – 5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a:t>
              </a:r>
            </a:p>
            <a:p>
              <a:pPr algn="ctr"/>
              <a:r>
                <a:rPr lang="lv-LV" sz="1100">
                  <a:solidFill>
                    <a:schemeClr val="bg2">
                      <a:lumMod val="25000"/>
                    </a:schemeClr>
                  </a:solidFill>
                  <a:latin typeface="Arial" panose="020B0604020202020204" pitchFamily="34" charset="0"/>
                  <a:cs typeface="Arial" panose="020B0604020202020204" pitchFamily="34" charset="0"/>
                </a:rPr>
                <a:t>25%</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10" name="Rectangle 9">
              <a:extLst>
                <a:ext uri="{FF2B5EF4-FFF2-40B4-BE49-F238E27FC236}">
                  <a16:creationId xmlns:a16="http://schemas.microsoft.com/office/drawing/2014/main" id="{B9D12D61-92F3-4E16-9F38-7D8170BA5D29}"/>
                </a:ext>
              </a:extLst>
            </xdr:cNvPr>
            <xdr:cNvSpPr/>
          </xdr:nvSpPr>
          <xdr:spPr>
            <a:xfrm>
              <a:off x="1655066" y="2840355"/>
              <a:ext cx="365759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(10+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a:t>
              </a:r>
            </a:p>
            <a:p>
              <a:pPr algn="ctr"/>
              <a:r>
                <a:rPr lang="lv-LV" sz="1100">
                  <a:solidFill>
                    <a:schemeClr val="bg2">
                      <a:lumMod val="25000"/>
                    </a:schemeClr>
                  </a:solidFill>
                  <a:latin typeface="Arial" panose="020B0604020202020204" pitchFamily="34" charset="0"/>
                  <a:cs typeface="Arial" panose="020B0604020202020204" pitchFamily="34" charset="0"/>
                </a:rPr>
                <a:t>75%</a:t>
              </a:r>
            </a:p>
          </xdr:txBody>
        </xdr:sp>
        <xdr:sp macro="" textlink="">
          <xdr:nvSpPr>
            <xdr:cNvPr id="11" name="Rectangle 10">
              <a:extLst>
                <a:ext uri="{FF2B5EF4-FFF2-40B4-BE49-F238E27FC236}">
                  <a16:creationId xmlns:a16="http://schemas.microsoft.com/office/drawing/2014/main" id="{06CBFAA6-427E-4D77-8537-80C777256A2E}"/>
                </a:ext>
              </a:extLst>
            </xdr:cNvPr>
            <xdr:cNvSpPr/>
          </xdr:nvSpPr>
          <xdr:spPr>
            <a:xfrm>
              <a:off x="429769" y="2840355"/>
              <a:ext cx="1225297"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endParaRPr lang="lv-LV" sz="1100">
                <a:latin typeface="Arial" panose="020B0604020202020204" pitchFamily="34" charset="0"/>
                <a:cs typeface="Arial" panose="020B0604020202020204" pitchFamily="34" charset="0"/>
              </a:endParaRPr>
            </a:p>
            <a:p>
              <a:pPr algn="ctr"/>
              <a:r>
                <a:rPr lang="lv-LV" sz="1100">
                  <a:latin typeface="Arial" panose="020B0604020202020204" pitchFamily="34" charset="0"/>
                  <a:cs typeface="Arial" panose="020B0604020202020204" pitchFamily="34" charset="0"/>
                </a:rPr>
                <a:t>(25%)</a:t>
              </a:r>
              <a:endParaRPr lang="en-US" sz="1100">
                <a:latin typeface="Arial" panose="020B0604020202020204" pitchFamily="34" charset="0"/>
                <a:cs typeface="Arial" panose="020B0604020202020204" pitchFamily="34" charset="0"/>
              </a:endParaRPr>
            </a:p>
          </xdr:txBody>
        </xdr:sp>
      </xdr:grpSp>
      <xdr:sp macro="" textlink="">
        <xdr:nvSpPr>
          <xdr:cNvPr id="4" name="Oval 3">
            <a:extLst>
              <a:ext uri="{FF2B5EF4-FFF2-40B4-BE49-F238E27FC236}">
                <a16:creationId xmlns:a16="http://schemas.microsoft.com/office/drawing/2014/main" id="{72DA9132-C9D1-4C95-8E90-5C8053EC7A65}"/>
              </a:ext>
            </a:extLst>
          </xdr:cNvPr>
          <xdr:cNvSpPr/>
        </xdr:nvSpPr>
        <xdr:spPr>
          <a:xfrm>
            <a:off x="10448925" y="6486525"/>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OR</a:t>
            </a:r>
          </a:p>
        </xdr:txBody>
      </xdr:sp>
      <xdr:sp macro="" textlink="">
        <xdr:nvSpPr>
          <xdr:cNvPr id="5" name="Oval 4">
            <a:extLst>
              <a:ext uri="{FF2B5EF4-FFF2-40B4-BE49-F238E27FC236}">
                <a16:creationId xmlns:a16="http://schemas.microsoft.com/office/drawing/2014/main" id="{C6395378-C177-4D3E-8B3E-4CD8579ADAA7}"/>
              </a:ext>
            </a:extLst>
          </xdr:cNvPr>
          <xdr:cNvSpPr/>
        </xdr:nvSpPr>
        <xdr:spPr>
          <a:xfrm>
            <a:off x="10448925" y="7162800"/>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OR</a:t>
            </a:r>
          </a:p>
        </xdr:txBody>
      </xdr:sp>
    </xdr:grpSp>
    <xdr:clientData/>
  </xdr:twoCellAnchor>
  <xdr:twoCellAnchor>
    <xdr:from>
      <xdr:col>13</xdr:col>
      <xdr:colOff>609599</xdr:colOff>
      <xdr:row>79</xdr:row>
      <xdr:rowOff>180974</xdr:rowOff>
    </xdr:from>
    <xdr:to>
      <xdr:col>19</xdr:col>
      <xdr:colOff>85725</xdr:colOff>
      <xdr:row>83</xdr:row>
      <xdr:rowOff>9524</xdr:rowOff>
    </xdr:to>
    <xdr:grpSp>
      <xdr:nvGrpSpPr>
        <xdr:cNvPr id="12" name="Group 11">
          <a:extLst>
            <a:ext uri="{FF2B5EF4-FFF2-40B4-BE49-F238E27FC236}">
              <a16:creationId xmlns:a16="http://schemas.microsoft.com/office/drawing/2014/main" id="{0B15920A-39D7-4A2F-A9A2-1E0863BA4865}"/>
            </a:ext>
          </a:extLst>
        </xdr:cNvPr>
        <xdr:cNvGrpSpPr/>
      </xdr:nvGrpSpPr>
      <xdr:grpSpPr>
        <a:xfrm>
          <a:off x="12496799" y="14947189"/>
          <a:ext cx="5876926" cy="553347"/>
          <a:chOff x="11410949" y="6734174"/>
          <a:chExt cx="5648326" cy="590550"/>
        </a:xfrm>
      </xdr:grpSpPr>
      <xdr:sp macro="" textlink="">
        <xdr:nvSpPr>
          <xdr:cNvPr id="13" name="Rectangle 12">
            <a:extLst>
              <a:ext uri="{FF2B5EF4-FFF2-40B4-BE49-F238E27FC236}">
                <a16:creationId xmlns:a16="http://schemas.microsoft.com/office/drawing/2014/main" id="{17A7B8EC-A1EB-439A-89F6-280688059C3A}"/>
              </a:ext>
            </a:extLst>
          </xdr:cNvPr>
          <xdr:cNvSpPr/>
        </xdr:nvSpPr>
        <xdr:spPr>
          <a:xfrm>
            <a:off x="11410949" y="6781801"/>
            <a:ext cx="2238375" cy="533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a:t>
            </a:r>
            <a:r>
              <a:rPr lang="lv-LV" sz="1100">
                <a:latin typeface="Arial" panose="020B0604020202020204" pitchFamily="34" charset="0"/>
                <a:cs typeface="Arial" panose="020B0604020202020204" pitchFamily="34" charset="0"/>
              </a:rPr>
              <a:t>e</a:t>
            </a:r>
            <a:endParaRPr lang="en-US" sz="1100">
              <a:latin typeface="Arial" panose="020B0604020202020204" pitchFamily="34" charset="0"/>
              <a:cs typeface="Arial" panose="020B0604020202020204" pitchFamily="34" charset="0"/>
            </a:endParaRPr>
          </a:p>
        </xdr:txBody>
      </xdr:sp>
      <xdr:grpSp>
        <xdr:nvGrpSpPr>
          <xdr:cNvPr id="14" name="Group 13">
            <a:extLst>
              <a:ext uri="{FF2B5EF4-FFF2-40B4-BE49-F238E27FC236}">
                <a16:creationId xmlns:a16="http://schemas.microsoft.com/office/drawing/2014/main" id="{AA1F1572-1B90-4977-A545-7822241010AA}"/>
              </a:ext>
            </a:extLst>
          </xdr:cNvPr>
          <xdr:cNvGrpSpPr/>
        </xdr:nvGrpSpPr>
        <xdr:grpSpPr>
          <a:xfrm>
            <a:off x="13820775" y="6781801"/>
            <a:ext cx="3238500" cy="533400"/>
            <a:chOff x="14277975" y="6781801"/>
            <a:chExt cx="2562226" cy="533400"/>
          </a:xfrm>
        </xdr:grpSpPr>
        <xdr:sp macro="" textlink="">
          <xdr:nvSpPr>
            <xdr:cNvPr id="16" name="Rectangle 15">
              <a:extLst>
                <a:ext uri="{FF2B5EF4-FFF2-40B4-BE49-F238E27FC236}">
                  <a16:creationId xmlns:a16="http://schemas.microsoft.com/office/drawing/2014/main" id="{7E8E6600-AA21-473E-815B-13F24BEF52E3}"/>
                </a:ext>
              </a:extLst>
            </xdr:cNvPr>
            <xdr:cNvSpPr/>
          </xdr:nvSpPr>
          <xdr:spPr>
            <a:xfrm>
              <a:off x="14277975" y="6781801"/>
              <a:ext cx="1171575"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a:t>
              </a:r>
            </a:p>
            <a:p>
              <a:pPr algn="ctr"/>
              <a:r>
                <a:rPr lang="lv-LV" sz="1100">
                  <a:latin typeface="Arial" panose="020B0604020202020204" pitchFamily="34" charset="0"/>
                  <a:cs typeface="Arial" panose="020B0604020202020204" pitchFamily="34" charset="0"/>
                </a:rPr>
                <a:t>(50%)</a:t>
              </a:r>
              <a:endParaRPr lang="en-US" sz="1100">
                <a:latin typeface="Arial" panose="020B0604020202020204" pitchFamily="34" charset="0"/>
                <a:cs typeface="Arial" panose="020B0604020202020204" pitchFamily="34" charset="0"/>
              </a:endParaRPr>
            </a:p>
          </xdr:txBody>
        </xdr:sp>
        <xdr:sp macro="" textlink="">
          <xdr:nvSpPr>
            <xdr:cNvPr id="17" name="Rectangle 16">
              <a:extLst>
                <a:ext uri="{FF2B5EF4-FFF2-40B4-BE49-F238E27FC236}">
                  <a16:creationId xmlns:a16="http://schemas.microsoft.com/office/drawing/2014/main" id="{C4D4318A-424A-4FF6-BCC3-E1196EA8BA8B}"/>
                </a:ext>
              </a:extLst>
            </xdr:cNvPr>
            <xdr:cNvSpPr/>
          </xdr:nvSpPr>
          <xdr:spPr>
            <a:xfrm>
              <a:off x="15459076"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CY-1 (25%)</a:t>
              </a:r>
              <a:endParaRPr lang="en-US" sz="1100">
                <a:latin typeface="Arial" panose="020B0604020202020204" pitchFamily="34" charset="0"/>
                <a:cs typeface="Arial" panose="020B0604020202020204" pitchFamily="34" charset="0"/>
              </a:endParaRPr>
            </a:p>
          </xdr:txBody>
        </xdr:sp>
        <xdr:sp macro="" textlink="">
          <xdr:nvSpPr>
            <xdr:cNvPr id="18" name="Rectangle 17">
              <a:extLst>
                <a:ext uri="{FF2B5EF4-FFF2-40B4-BE49-F238E27FC236}">
                  <a16:creationId xmlns:a16="http://schemas.microsoft.com/office/drawing/2014/main" id="{95E7F937-F186-4FB1-B366-0784A116FD53}"/>
                </a:ext>
              </a:extLst>
            </xdr:cNvPr>
            <xdr:cNvSpPr/>
          </xdr:nvSpPr>
          <xdr:spPr>
            <a:xfrm>
              <a:off x="16154401"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CY-2 (25%)</a:t>
              </a:r>
              <a:endParaRPr lang="en-US" sz="1100">
                <a:latin typeface="Arial" panose="020B0604020202020204" pitchFamily="34" charset="0"/>
                <a:cs typeface="Arial" panose="020B0604020202020204" pitchFamily="34" charset="0"/>
              </a:endParaRPr>
            </a:p>
          </xdr:txBody>
        </xdr:sp>
      </xdr:grpSp>
      <xdr:sp macro="" textlink="">
        <xdr:nvSpPr>
          <xdr:cNvPr id="15" name="Oval 14">
            <a:extLst>
              <a:ext uri="{FF2B5EF4-FFF2-40B4-BE49-F238E27FC236}">
                <a16:creationId xmlns:a16="http://schemas.microsoft.com/office/drawing/2014/main" id="{CBAC76E8-47C6-42CB-AEA5-4BCFF275B6DA}"/>
              </a:ext>
            </a:extLst>
          </xdr:cNvPr>
          <xdr:cNvSpPr/>
        </xdr:nvSpPr>
        <xdr:spPr>
          <a:xfrm>
            <a:off x="13420724" y="6734174"/>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accent2"/>
                </a:solidFill>
                <a:latin typeface="Arial" panose="020B0604020202020204" pitchFamily="34" charset="0"/>
                <a:cs typeface="Arial" panose="020B0604020202020204" pitchFamily="34" charset="0"/>
              </a:rPr>
              <a:t>=</a:t>
            </a:r>
          </a:p>
        </xdr:txBody>
      </xdr:sp>
    </xdr:grpSp>
    <xdr:clientData/>
  </xdr:twoCellAnchor>
  <xdr:twoCellAnchor>
    <xdr:from>
      <xdr:col>4</xdr:col>
      <xdr:colOff>76199</xdr:colOff>
      <xdr:row>156</xdr:row>
      <xdr:rowOff>9524</xdr:rowOff>
    </xdr:from>
    <xdr:to>
      <xdr:col>13</xdr:col>
      <xdr:colOff>19050</xdr:colOff>
      <xdr:row>165</xdr:row>
      <xdr:rowOff>161925</xdr:rowOff>
    </xdr:to>
    <xdr:grpSp>
      <xdr:nvGrpSpPr>
        <xdr:cNvPr id="24" name="Group 23">
          <a:extLst>
            <a:ext uri="{FF2B5EF4-FFF2-40B4-BE49-F238E27FC236}">
              <a16:creationId xmlns:a16="http://schemas.microsoft.com/office/drawing/2014/main" id="{1757B8FD-4FC7-4908-858E-E96CD23FDE62}"/>
            </a:ext>
          </a:extLst>
        </xdr:cNvPr>
        <xdr:cNvGrpSpPr/>
      </xdr:nvGrpSpPr>
      <xdr:grpSpPr>
        <a:xfrm>
          <a:off x="1205752" y="28956559"/>
          <a:ext cx="10700498" cy="1766048"/>
          <a:chOff x="1228724" y="6191249"/>
          <a:chExt cx="9810751" cy="1866901"/>
        </a:xfrm>
      </xdr:grpSpPr>
      <xdr:grpSp>
        <xdr:nvGrpSpPr>
          <xdr:cNvPr id="25" name="Group 24">
            <a:extLst>
              <a:ext uri="{FF2B5EF4-FFF2-40B4-BE49-F238E27FC236}">
                <a16:creationId xmlns:a16="http://schemas.microsoft.com/office/drawing/2014/main" id="{AA75F80A-814D-4B20-AE3C-39EEFACF9953}"/>
              </a:ext>
            </a:extLst>
          </xdr:cNvPr>
          <xdr:cNvGrpSpPr/>
        </xdr:nvGrpSpPr>
        <xdr:grpSpPr>
          <a:xfrm>
            <a:off x="1228724" y="6191249"/>
            <a:ext cx="9553575" cy="1866901"/>
            <a:chOff x="429769" y="625221"/>
            <a:chExt cx="4882896" cy="3129534"/>
          </a:xfrm>
        </xdr:grpSpPr>
        <xdr:sp macro="" textlink="">
          <xdr:nvSpPr>
            <xdr:cNvPr id="28" name="Rectangle 27">
              <a:extLst>
                <a:ext uri="{FF2B5EF4-FFF2-40B4-BE49-F238E27FC236}">
                  <a16:creationId xmlns:a16="http://schemas.microsoft.com/office/drawing/2014/main" id="{C3B0790E-347C-41FB-8599-4170ACEF77A7}"/>
                </a:ext>
              </a:extLst>
            </xdr:cNvPr>
            <xdr:cNvSpPr/>
          </xdr:nvSpPr>
          <xdr:spPr>
            <a:xfrm>
              <a:off x="429769" y="1733931"/>
              <a:ext cx="244144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p>
            <a:p>
              <a:pPr algn="ctr"/>
              <a:r>
                <a:rPr lang="lv-LV" sz="1100">
                  <a:latin typeface="Arial" panose="020B0604020202020204" pitchFamily="34" charset="0"/>
                  <a:cs typeface="Arial" panose="020B0604020202020204" pitchFamily="34" charset="0"/>
                </a:rPr>
                <a:t>(50%)</a:t>
              </a:r>
            </a:p>
          </xdr:txBody>
        </xdr:sp>
        <xdr:sp macro="" textlink="">
          <xdr:nvSpPr>
            <xdr:cNvPr id="29" name="Rectangle 28">
              <a:extLst>
                <a:ext uri="{FF2B5EF4-FFF2-40B4-BE49-F238E27FC236}">
                  <a16:creationId xmlns:a16="http://schemas.microsoft.com/office/drawing/2014/main" id="{4C6AC943-7218-412A-A225-C04DDE8AE0EC}"/>
                </a:ext>
              </a:extLst>
            </xdr:cNvPr>
            <xdr:cNvSpPr/>
          </xdr:nvSpPr>
          <xdr:spPr>
            <a:xfrm>
              <a:off x="2871217" y="1733931"/>
              <a:ext cx="244144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(6 – 10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 </a:t>
              </a:r>
            </a:p>
            <a:p>
              <a:pPr algn="ctr"/>
              <a:r>
                <a:rPr lang="lv-LV" sz="1100">
                  <a:solidFill>
                    <a:schemeClr val="bg2">
                      <a:lumMod val="25000"/>
                    </a:schemeClr>
                  </a:solidFill>
                  <a:latin typeface="Arial" panose="020B0604020202020204" pitchFamily="34" charset="0"/>
                  <a:cs typeface="Arial" panose="020B0604020202020204" pitchFamily="34" charset="0"/>
                </a:rPr>
                <a:t>50%</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30" name="Rectangle 29">
              <a:extLst>
                <a:ext uri="{FF2B5EF4-FFF2-40B4-BE49-F238E27FC236}">
                  <a16:creationId xmlns:a16="http://schemas.microsoft.com/office/drawing/2014/main" id="{B28FEC3E-96D7-4A6D-81A0-DC5FE945DC11}"/>
                </a:ext>
              </a:extLst>
            </xdr:cNvPr>
            <xdr:cNvSpPr/>
          </xdr:nvSpPr>
          <xdr:spPr>
            <a:xfrm>
              <a:off x="429769" y="625221"/>
              <a:ext cx="365759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p>
            <a:p>
              <a:pPr algn="ctr"/>
              <a:r>
                <a:rPr lang="lv-LV" sz="1100">
                  <a:latin typeface="Arial" panose="020B0604020202020204" pitchFamily="34" charset="0"/>
                  <a:cs typeface="Arial" panose="020B0604020202020204" pitchFamily="34" charset="0"/>
                </a:rPr>
                <a:t>(75%)</a:t>
              </a:r>
              <a:endParaRPr lang="en-US" sz="1100">
                <a:latin typeface="Arial" panose="020B0604020202020204" pitchFamily="34" charset="0"/>
                <a:cs typeface="Arial" panose="020B0604020202020204" pitchFamily="34" charset="0"/>
              </a:endParaRPr>
            </a:p>
          </xdr:txBody>
        </xdr:sp>
        <xdr:sp macro="" textlink="">
          <xdr:nvSpPr>
            <xdr:cNvPr id="31" name="Rectangle 30">
              <a:extLst>
                <a:ext uri="{FF2B5EF4-FFF2-40B4-BE49-F238E27FC236}">
                  <a16:creationId xmlns:a16="http://schemas.microsoft.com/office/drawing/2014/main" id="{93C86895-BED5-41D2-B25C-517F6109CDB6}"/>
                </a:ext>
              </a:extLst>
            </xdr:cNvPr>
            <xdr:cNvSpPr/>
          </xdr:nvSpPr>
          <xdr:spPr>
            <a:xfrm>
              <a:off x="4087367" y="625221"/>
              <a:ext cx="1225297"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(1 – 5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a:t>
              </a:r>
            </a:p>
            <a:p>
              <a:pPr algn="ctr"/>
              <a:r>
                <a:rPr lang="lv-LV" sz="1100">
                  <a:solidFill>
                    <a:schemeClr val="bg2">
                      <a:lumMod val="25000"/>
                    </a:schemeClr>
                  </a:solidFill>
                  <a:latin typeface="Arial" panose="020B0604020202020204" pitchFamily="34" charset="0"/>
                  <a:cs typeface="Arial" panose="020B0604020202020204" pitchFamily="34" charset="0"/>
                </a:rPr>
                <a:t>25%</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32" name="Rectangle 31">
              <a:extLst>
                <a:ext uri="{FF2B5EF4-FFF2-40B4-BE49-F238E27FC236}">
                  <a16:creationId xmlns:a16="http://schemas.microsoft.com/office/drawing/2014/main" id="{11DFBE2D-D6BD-4FC9-AE38-8EFA6D7300F4}"/>
                </a:ext>
              </a:extLst>
            </xdr:cNvPr>
            <xdr:cNvSpPr/>
          </xdr:nvSpPr>
          <xdr:spPr>
            <a:xfrm>
              <a:off x="1655066" y="2840355"/>
              <a:ext cx="365759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(10+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a:t>
              </a:r>
            </a:p>
            <a:p>
              <a:pPr algn="ctr"/>
              <a:r>
                <a:rPr lang="lv-LV" sz="1100">
                  <a:solidFill>
                    <a:schemeClr val="bg2">
                      <a:lumMod val="25000"/>
                    </a:schemeClr>
                  </a:solidFill>
                  <a:latin typeface="Arial" panose="020B0604020202020204" pitchFamily="34" charset="0"/>
                  <a:cs typeface="Arial" panose="020B0604020202020204" pitchFamily="34" charset="0"/>
                </a:rPr>
                <a:t>75%</a:t>
              </a:r>
            </a:p>
          </xdr:txBody>
        </xdr:sp>
        <xdr:sp macro="" textlink="">
          <xdr:nvSpPr>
            <xdr:cNvPr id="33" name="Rectangle 32">
              <a:extLst>
                <a:ext uri="{FF2B5EF4-FFF2-40B4-BE49-F238E27FC236}">
                  <a16:creationId xmlns:a16="http://schemas.microsoft.com/office/drawing/2014/main" id="{DCAF3485-6413-46BC-AF91-74D3850487CB}"/>
                </a:ext>
              </a:extLst>
            </xdr:cNvPr>
            <xdr:cNvSpPr/>
          </xdr:nvSpPr>
          <xdr:spPr>
            <a:xfrm>
              <a:off x="429769" y="2840355"/>
              <a:ext cx="1225297"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endParaRPr lang="lv-LV" sz="1100">
                <a:latin typeface="Arial" panose="020B0604020202020204" pitchFamily="34" charset="0"/>
                <a:cs typeface="Arial" panose="020B0604020202020204" pitchFamily="34" charset="0"/>
              </a:endParaRPr>
            </a:p>
            <a:p>
              <a:pPr algn="ctr"/>
              <a:r>
                <a:rPr lang="lv-LV" sz="1100">
                  <a:latin typeface="Arial" panose="020B0604020202020204" pitchFamily="34" charset="0"/>
                  <a:cs typeface="Arial" panose="020B0604020202020204" pitchFamily="34" charset="0"/>
                </a:rPr>
                <a:t>(25%)</a:t>
              </a:r>
              <a:endParaRPr lang="en-US" sz="1100">
                <a:latin typeface="Arial" panose="020B0604020202020204" pitchFamily="34" charset="0"/>
                <a:cs typeface="Arial" panose="020B0604020202020204" pitchFamily="34" charset="0"/>
              </a:endParaRPr>
            </a:p>
          </xdr:txBody>
        </xdr:sp>
      </xdr:grpSp>
      <xdr:sp macro="" textlink="">
        <xdr:nvSpPr>
          <xdr:cNvPr id="26" name="Oval 25">
            <a:extLst>
              <a:ext uri="{FF2B5EF4-FFF2-40B4-BE49-F238E27FC236}">
                <a16:creationId xmlns:a16="http://schemas.microsoft.com/office/drawing/2014/main" id="{E2687AF7-B93E-4778-BCC3-3040A3FEEEAB}"/>
              </a:ext>
            </a:extLst>
          </xdr:cNvPr>
          <xdr:cNvSpPr/>
        </xdr:nvSpPr>
        <xdr:spPr>
          <a:xfrm>
            <a:off x="10448925" y="6486525"/>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OR</a:t>
            </a:r>
          </a:p>
        </xdr:txBody>
      </xdr:sp>
      <xdr:sp macro="" textlink="">
        <xdr:nvSpPr>
          <xdr:cNvPr id="27" name="Oval 26">
            <a:extLst>
              <a:ext uri="{FF2B5EF4-FFF2-40B4-BE49-F238E27FC236}">
                <a16:creationId xmlns:a16="http://schemas.microsoft.com/office/drawing/2014/main" id="{CFDA8DC0-3E70-4C7A-BE74-6606CA4A56BC}"/>
              </a:ext>
            </a:extLst>
          </xdr:cNvPr>
          <xdr:cNvSpPr/>
        </xdr:nvSpPr>
        <xdr:spPr>
          <a:xfrm>
            <a:off x="10448925" y="7162800"/>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OR</a:t>
            </a:r>
          </a:p>
        </xdr:txBody>
      </xdr:sp>
    </xdr:grpSp>
    <xdr:clientData/>
  </xdr:twoCellAnchor>
  <xdr:twoCellAnchor>
    <xdr:from>
      <xdr:col>13</xdr:col>
      <xdr:colOff>609599</xdr:colOff>
      <xdr:row>158</xdr:row>
      <xdr:rowOff>180974</xdr:rowOff>
    </xdr:from>
    <xdr:to>
      <xdr:col>19</xdr:col>
      <xdr:colOff>85725</xdr:colOff>
      <xdr:row>162</xdr:row>
      <xdr:rowOff>9524</xdr:rowOff>
    </xdr:to>
    <xdr:grpSp>
      <xdr:nvGrpSpPr>
        <xdr:cNvPr id="34" name="Group 33">
          <a:extLst>
            <a:ext uri="{FF2B5EF4-FFF2-40B4-BE49-F238E27FC236}">
              <a16:creationId xmlns:a16="http://schemas.microsoft.com/office/drawing/2014/main" id="{29F8B4D7-15BB-44EA-BE27-9D8875925B9A}"/>
            </a:ext>
          </a:extLst>
        </xdr:cNvPr>
        <xdr:cNvGrpSpPr/>
      </xdr:nvGrpSpPr>
      <xdr:grpSpPr>
        <a:xfrm>
          <a:off x="12496799" y="29478978"/>
          <a:ext cx="5876926" cy="553346"/>
          <a:chOff x="11410949" y="6734174"/>
          <a:chExt cx="5648326" cy="590550"/>
        </a:xfrm>
      </xdr:grpSpPr>
      <xdr:sp macro="" textlink="">
        <xdr:nvSpPr>
          <xdr:cNvPr id="35" name="Rectangle 34">
            <a:extLst>
              <a:ext uri="{FF2B5EF4-FFF2-40B4-BE49-F238E27FC236}">
                <a16:creationId xmlns:a16="http://schemas.microsoft.com/office/drawing/2014/main" id="{0EE5C512-FCFA-4CAC-ABD2-383704AB7264}"/>
              </a:ext>
            </a:extLst>
          </xdr:cNvPr>
          <xdr:cNvSpPr/>
        </xdr:nvSpPr>
        <xdr:spPr>
          <a:xfrm>
            <a:off x="11410949" y="6781801"/>
            <a:ext cx="2238375" cy="533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a:t>
            </a:r>
            <a:r>
              <a:rPr lang="lv-LV" sz="1100">
                <a:latin typeface="Arial" panose="020B0604020202020204" pitchFamily="34" charset="0"/>
                <a:cs typeface="Arial" panose="020B0604020202020204" pitchFamily="34" charset="0"/>
              </a:rPr>
              <a:t>e</a:t>
            </a:r>
            <a:endParaRPr lang="en-US" sz="1100">
              <a:latin typeface="Arial" panose="020B0604020202020204" pitchFamily="34" charset="0"/>
              <a:cs typeface="Arial" panose="020B0604020202020204" pitchFamily="34" charset="0"/>
            </a:endParaRPr>
          </a:p>
        </xdr:txBody>
      </xdr:sp>
      <xdr:grpSp>
        <xdr:nvGrpSpPr>
          <xdr:cNvPr id="36" name="Group 35">
            <a:extLst>
              <a:ext uri="{FF2B5EF4-FFF2-40B4-BE49-F238E27FC236}">
                <a16:creationId xmlns:a16="http://schemas.microsoft.com/office/drawing/2014/main" id="{BA50CE59-E55D-4A8D-A8CC-93532C86E5BE}"/>
              </a:ext>
            </a:extLst>
          </xdr:cNvPr>
          <xdr:cNvGrpSpPr/>
        </xdr:nvGrpSpPr>
        <xdr:grpSpPr>
          <a:xfrm>
            <a:off x="13820775" y="6781801"/>
            <a:ext cx="3238500" cy="533400"/>
            <a:chOff x="14277975" y="6781801"/>
            <a:chExt cx="2562226" cy="533400"/>
          </a:xfrm>
        </xdr:grpSpPr>
        <xdr:sp macro="" textlink="">
          <xdr:nvSpPr>
            <xdr:cNvPr id="38" name="Rectangle 37">
              <a:extLst>
                <a:ext uri="{FF2B5EF4-FFF2-40B4-BE49-F238E27FC236}">
                  <a16:creationId xmlns:a16="http://schemas.microsoft.com/office/drawing/2014/main" id="{2A2994B1-9EBE-4B7D-AC2C-52A74D50967B}"/>
                </a:ext>
              </a:extLst>
            </xdr:cNvPr>
            <xdr:cNvSpPr/>
          </xdr:nvSpPr>
          <xdr:spPr>
            <a:xfrm>
              <a:off x="14277975" y="6781801"/>
              <a:ext cx="1171575"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a:t>
              </a:r>
            </a:p>
            <a:p>
              <a:pPr algn="ctr"/>
              <a:r>
                <a:rPr lang="lv-LV" sz="1100">
                  <a:latin typeface="Arial" panose="020B0604020202020204" pitchFamily="34" charset="0"/>
                  <a:cs typeface="Arial" panose="020B0604020202020204" pitchFamily="34" charset="0"/>
                </a:rPr>
                <a:t>(50%)</a:t>
              </a:r>
              <a:endParaRPr lang="en-US" sz="1100">
                <a:latin typeface="Arial" panose="020B0604020202020204" pitchFamily="34" charset="0"/>
                <a:cs typeface="Arial" panose="020B0604020202020204" pitchFamily="34" charset="0"/>
              </a:endParaRPr>
            </a:p>
          </xdr:txBody>
        </xdr:sp>
        <xdr:sp macro="" textlink="">
          <xdr:nvSpPr>
            <xdr:cNvPr id="39" name="Rectangle 38">
              <a:extLst>
                <a:ext uri="{FF2B5EF4-FFF2-40B4-BE49-F238E27FC236}">
                  <a16:creationId xmlns:a16="http://schemas.microsoft.com/office/drawing/2014/main" id="{5B639C46-BFBA-4A4F-B15D-D8D83D01898F}"/>
                </a:ext>
              </a:extLst>
            </xdr:cNvPr>
            <xdr:cNvSpPr/>
          </xdr:nvSpPr>
          <xdr:spPr>
            <a:xfrm>
              <a:off x="15459076"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CY-1 (25%)</a:t>
              </a:r>
              <a:endParaRPr lang="en-US" sz="1100">
                <a:latin typeface="Arial" panose="020B0604020202020204" pitchFamily="34" charset="0"/>
                <a:cs typeface="Arial" panose="020B0604020202020204" pitchFamily="34" charset="0"/>
              </a:endParaRPr>
            </a:p>
          </xdr:txBody>
        </xdr:sp>
        <xdr:sp macro="" textlink="">
          <xdr:nvSpPr>
            <xdr:cNvPr id="40" name="Rectangle 39">
              <a:extLst>
                <a:ext uri="{FF2B5EF4-FFF2-40B4-BE49-F238E27FC236}">
                  <a16:creationId xmlns:a16="http://schemas.microsoft.com/office/drawing/2014/main" id="{54BE897F-F812-49C6-AD99-9F27BD4E77A3}"/>
                </a:ext>
              </a:extLst>
            </xdr:cNvPr>
            <xdr:cNvSpPr/>
          </xdr:nvSpPr>
          <xdr:spPr>
            <a:xfrm>
              <a:off x="16154401"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CY-2 (25%)</a:t>
              </a:r>
              <a:endParaRPr lang="en-US" sz="1100">
                <a:latin typeface="Arial" panose="020B0604020202020204" pitchFamily="34" charset="0"/>
                <a:cs typeface="Arial" panose="020B0604020202020204" pitchFamily="34" charset="0"/>
              </a:endParaRPr>
            </a:p>
          </xdr:txBody>
        </xdr:sp>
      </xdr:grpSp>
      <xdr:sp macro="" textlink="">
        <xdr:nvSpPr>
          <xdr:cNvPr id="37" name="Oval 36">
            <a:extLst>
              <a:ext uri="{FF2B5EF4-FFF2-40B4-BE49-F238E27FC236}">
                <a16:creationId xmlns:a16="http://schemas.microsoft.com/office/drawing/2014/main" id="{3B67AFF5-6632-417D-A52D-AB5CC4ABDADA}"/>
              </a:ext>
            </a:extLst>
          </xdr:cNvPr>
          <xdr:cNvSpPr/>
        </xdr:nvSpPr>
        <xdr:spPr>
          <a:xfrm>
            <a:off x="13420724" y="6734174"/>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accent2"/>
                </a:solidFill>
                <a:latin typeface="Arial" panose="020B0604020202020204" pitchFamily="34" charset="0"/>
                <a:cs typeface="Arial" panose="020B0604020202020204" pitchFamily="34" charset="0"/>
              </a:rPr>
              <a:t>=</a:t>
            </a:r>
          </a:p>
        </xdr:txBody>
      </xdr:sp>
    </xdr:grpSp>
    <xdr:clientData/>
  </xdr:twoCellAnchor>
  <xdr:twoCellAnchor>
    <xdr:from>
      <xdr:col>4</xdr:col>
      <xdr:colOff>33866</xdr:colOff>
      <xdr:row>9</xdr:row>
      <xdr:rowOff>136524</xdr:rowOff>
    </xdr:from>
    <xdr:to>
      <xdr:col>12</xdr:col>
      <xdr:colOff>886883</xdr:colOff>
      <xdr:row>19</xdr:row>
      <xdr:rowOff>98425</xdr:rowOff>
    </xdr:to>
    <xdr:grpSp>
      <xdr:nvGrpSpPr>
        <xdr:cNvPr id="41" name="Group 40">
          <a:extLst>
            <a:ext uri="{FF2B5EF4-FFF2-40B4-BE49-F238E27FC236}">
              <a16:creationId xmlns:a16="http://schemas.microsoft.com/office/drawing/2014/main" id="{9623169E-2EDD-4C7D-B3EE-3DAD69901AF0}"/>
            </a:ext>
          </a:extLst>
        </xdr:cNvPr>
        <xdr:cNvGrpSpPr/>
      </xdr:nvGrpSpPr>
      <xdr:grpSpPr>
        <a:xfrm>
          <a:off x="1163419" y="2081865"/>
          <a:ext cx="10678335" cy="1754842"/>
          <a:chOff x="1228724" y="6191249"/>
          <a:chExt cx="9810751" cy="1866901"/>
        </a:xfrm>
      </xdr:grpSpPr>
      <xdr:grpSp>
        <xdr:nvGrpSpPr>
          <xdr:cNvPr id="42" name="Group 41">
            <a:extLst>
              <a:ext uri="{FF2B5EF4-FFF2-40B4-BE49-F238E27FC236}">
                <a16:creationId xmlns:a16="http://schemas.microsoft.com/office/drawing/2014/main" id="{0D59BDA5-680F-4269-BED5-0B0AA89C8D27}"/>
              </a:ext>
            </a:extLst>
          </xdr:cNvPr>
          <xdr:cNvGrpSpPr/>
        </xdr:nvGrpSpPr>
        <xdr:grpSpPr>
          <a:xfrm>
            <a:off x="1228724" y="6191249"/>
            <a:ext cx="9553575" cy="1866901"/>
            <a:chOff x="429769" y="625221"/>
            <a:chExt cx="4882896" cy="3129534"/>
          </a:xfrm>
        </xdr:grpSpPr>
        <xdr:sp macro="" textlink="">
          <xdr:nvSpPr>
            <xdr:cNvPr id="45" name="Rectangle 44">
              <a:extLst>
                <a:ext uri="{FF2B5EF4-FFF2-40B4-BE49-F238E27FC236}">
                  <a16:creationId xmlns:a16="http://schemas.microsoft.com/office/drawing/2014/main" id="{BF4BC567-C02A-43FA-9C10-5919705D1EF9}"/>
                </a:ext>
              </a:extLst>
            </xdr:cNvPr>
            <xdr:cNvSpPr/>
          </xdr:nvSpPr>
          <xdr:spPr>
            <a:xfrm>
              <a:off x="429769" y="1733931"/>
              <a:ext cx="244144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p>
            <a:p>
              <a:pPr algn="ctr"/>
              <a:r>
                <a:rPr lang="lv-LV" sz="1100">
                  <a:latin typeface="Arial" panose="020B0604020202020204" pitchFamily="34" charset="0"/>
                  <a:cs typeface="Arial" panose="020B0604020202020204" pitchFamily="34" charset="0"/>
                </a:rPr>
                <a:t>(50%)</a:t>
              </a:r>
            </a:p>
          </xdr:txBody>
        </xdr:sp>
        <xdr:sp macro="" textlink="">
          <xdr:nvSpPr>
            <xdr:cNvPr id="46" name="Rectangle 45">
              <a:extLst>
                <a:ext uri="{FF2B5EF4-FFF2-40B4-BE49-F238E27FC236}">
                  <a16:creationId xmlns:a16="http://schemas.microsoft.com/office/drawing/2014/main" id="{9D530F7B-B1D2-4026-ABE9-BFDFA109717B}"/>
                </a:ext>
              </a:extLst>
            </xdr:cNvPr>
            <xdr:cNvSpPr/>
          </xdr:nvSpPr>
          <xdr:spPr>
            <a:xfrm>
              <a:off x="2871217" y="1733931"/>
              <a:ext cx="244144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(6 – 10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 </a:t>
              </a:r>
            </a:p>
            <a:p>
              <a:pPr algn="ctr"/>
              <a:r>
                <a:rPr lang="lv-LV" sz="1100">
                  <a:solidFill>
                    <a:schemeClr val="bg2">
                      <a:lumMod val="25000"/>
                    </a:schemeClr>
                  </a:solidFill>
                  <a:latin typeface="Arial" panose="020B0604020202020204" pitchFamily="34" charset="0"/>
                  <a:cs typeface="Arial" panose="020B0604020202020204" pitchFamily="34" charset="0"/>
                </a:rPr>
                <a:t>50%</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47" name="Rectangle 46">
              <a:extLst>
                <a:ext uri="{FF2B5EF4-FFF2-40B4-BE49-F238E27FC236}">
                  <a16:creationId xmlns:a16="http://schemas.microsoft.com/office/drawing/2014/main" id="{6AC05188-258D-477B-AA5A-595D6C077B5A}"/>
                </a:ext>
              </a:extLst>
            </xdr:cNvPr>
            <xdr:cNvSpPr/>
          </xdr:nvSpPr>
          <xdr:spPr>
            <a:xfrm>
              <a:off x="429769" y="625221"/>
              <a:ext cx="3657598"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p>
            <a:p>
              <a:pPr algn="ctr"/>
              <a:r>
                <a:rPr lang="lv-LV" sz="1100">
                  <a:latin typeface="Arial" panose="020B0604020202020204" pitchFamily="34" charset="0"/>
                  <a:cs typeface="Arial" panose="020B0604020202020204" pitchFamily="34" charset="0"/>
                </a:rPr>
                <a:t>(75%)</a:t>
              </a:r>
              <a:endParaRPr lang="en-US" sz="1100">
                <a:latin typeface="Arial" panose="020B0604020202020204" pitchFamily="34" charset="0"/>
                <a:cs typeface="Arial" panose="020B0604020202020204" pitchFamily="34" charset="0"/>
              </a:endParaRPr>
            </a:p>
          </xdr:txBody>
        </xdr:sp>
        <xdr:sp macro="" textlink="">
          <xdr:nvSpPr>
            <xdr:cNvPr id="48" name="Rectangle 47">
              <a:extLst>
                <a:ext uri="{FF2B5EF4-FFF2-40B4-BE49-F238E27FC236}">
                  <a16:creationId xmlns:a16="http://schemas.microsoft.com/office/drawing/2014/main" id="{89AFD022-5575-4DD8-8C15-9FDBF31930BF}"/>
                </a:ext>
              </a:extLst>
            </xdr:cNvPr>
            <xdr:cNvSpPr/>
          </xdr:nvSpPr>
          <xdr:spPr>
            <a:xfrm>
              <a:off x="4087367" y="625221"/>
              <a:ext cx="1225297"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(1 – 5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a:t>
              </a:r>
            </a:p>
            <a:p>
              <a:pPr algn="ctr"/>
              <a:r>
                <a:rPr lang="lv-LV" sz="1100">
                  <a:solidFill>
                    <a:schemeClr val="bg2">
                      <a:lumMod val="25000"/>
                    </a:schemeClr>
                  </a:solidFill>
                  <a:latin typeface="Arial" panose="020B0604020202020204" pitchFamily="34" charset="0"/>
                  <a:cs typeface="Arial" panose="020B0604020202020204" pitchFamily="34" charset="0"/>
                </a:rPr>
                <a:t>25%</a:t>
              </a:r>
              <a:endParaRPr lang="en-US" sz="1100">
                <a:solidFill>
                  <a:schemeClr val="bg2">
                    <a:lumMod val="25000"/>
                  </a:schemeClr>
                </a:solidFill>
                <a:latin typeface="Arial" panose="020B0604020202020204" pitchFamily="34" charset="0"/>
                <a:cs typeface="Arial" panose="020B0604020202020204" pitchFamily="34" charset="0"/>
              </a:endParaRPr>
            </a:p>
          </xdr:txBody>
        </xdr:sp>
        <xdr:sp macro="" textlink="">
          <xdr:nvSpPr>
            <xdr:cNvPr id="49" name="Rectangle 48">
              <a:extLst>
                <a:ext uri="{FF2B5EF4-FFF2-40B4-BE49-F238E27FC236}">
                  <a16:creationId xmlns:a16="http://schemas.microsoft.com/office/drawing/2014/main" id="{6AEA6766-9215-495F-BC05-94FBFE8A824E}"/>
                </a:ext>
              </a:extLst>
            </xdr:cNvPr>
            <xdr:cNvSpPr/>
          </xdr:nvSpPr>
          <xdr:spPr>
            <a:xfrm>
              <a:off x="1655066" y="2840355"/>
              <a:ext cx="3657598" cy="914400"/>
            </a:xfrm>
            <a:prstGeom prst="rect">
              <a:avLst/>
            </a:prstGeom>
            <a:solidFill>
              <a:schemeClr val="tx2">
                <a:lumMod val="40000"/>
                <a:lumOff val="6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solidFill>
                    <a:schemeClr val="bg2">
                      <a:lumMod val="25000"/>
                    </a:schemeClr>
                  </a:solidFill>
                  <a:latin typeface="Arial" panose="020B0604020202020204" pitchFamily="34" charset="0"/>
                  <a:cs typeface="Arial" panose="020B0604020202020204" pitchFamily="34" charset="0"/>
                </a:rPr>
                <a:t>Peer</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group</a:t>
              </a:r>
              <a:r>
                <a:rPr lang="lv-LV" sz="1100">
                  <a:solidFill>
                    <a:schemeClr val="bg2">
                      <a:lumMod val="25000"/>
                    </a:schemeClr>
                  </a:solidFill>
                  <a:latin typeface="Arial" panose="020B0604020202020204" pitchFamily="34" charset="0"/>
                  <a:cs typeface="Arial" panose="020B0604020202020204" pitchFamily="34" charset="0"/>
                </a:rPr>
                <a:t> </a:t>
              </a:r>
              <a:r>
                <a:rPr lang="en-US" sz="1100">
                  <a:solidFill>
                    <a:schemeClr val="bg2">
                      <a:lumMod val="25000"/>
                    </a:schemeClr>
                  </a:solidFill>
                  <a:latin typeface="Arial" panose="020B0604020202020204" pitchFamily="34" charset="0"/>
                  <a:cs typeface="Arial" panose="020B0604020202020204" pitchFamily="34" charset="0"/>
                </a:rPr>
                <a:t>median</a:t>
              </a:r>
            </a:p>
            <a:p>
              <a:pPr algn="ctr"/>
              <a:r>
                <a:rPr lang="lv-LV" sz="1100">
                  <a:solidFill>
                    <a:schemeClr val="bg2">
                      <a:lumMod val="25000"/>
                    </a:schemeClr>
                  </a:solidFill>
                  <a:latin typeface="Arial" panose="020B0604020202020204" pitchFamily="34" charset="0"/>
                  <a:cs typeface="Arial" panose="020B0604020202020204" pitchFamily="34" charset="0"/>
                </a:rPr>
                <a:t>(10+ </a:t>
              </a:r>
              <a:r>
                <a:rPr lang="en-US" sz="1100">
                  <a:solidFill>
                    <a:schemeClr val="bg2">
                      <a:lumMod val="25000"/>
                    </a:schemeClr>
                  </a:solidFill>
                  <a:latin typeface="Arial" panose="020B0604020202020204" pitchFamily="34" charset="0"/>
                  <a:cs typeface="Arial" panose="020B0604020202020204" pitchFamily="34" charset="0"/>
                </a:rPr>
                <a:t>peers</a:t>
              </a:r>
              <a:r>
                <a:rPr lang="lv-LV" sz="1100">
                  <a:solidFill>
                    <a:schemeClr val="bg2">
                      <a:lumMod val="25000"/>
                    </a:schemeClr>
                  </a:solidFill>
                  <a:latin typeface="Arial" panose="020B0604020202020204" pitchFamily="34" charset="0"/>
                  <a:cs typeface="Arial" panose="020B0604020202020204" pitchFamily="34" charset="0"/>
                </a:rPr>
                <a:t>)</a:t>
              </a:r>
            </a:p>
            <a:p>
              <a:pPr algn="ctr"/>
              <a:r>
                <a:rPr lang="lv-LV" sz="1100">
                  <a:solidFill>
                    <a:schemeClr val="bg2">
                      <a:lumMod val="25000"/>
                    </a:schemeClr>
                  </a:solidFill>
                  <a:latin typeface="Arial" panose="020B0604020202020204" pitchFamily="34" charset="0"/>
                  <a:cs typeface="Arial" panose="020B0604020202020204" pitchFamily="34" charset="0"/>
                </a:rPr>
                <a:t>75%</a:t>
              </a:r>
            </a:p>
          </xdr:txBody>
        </xdr:sp>
        <xdr:sp macro="" textlink="">
          <xdr:nvSpPr>
            <xdr:cNvPr id="50" name="Rectangle 49">
              <a:extLst>
                <a:ext uri="{FF2B5EF4-FFF2-40B4-BE49-F238E27FC236}">
                  <a16:creationId xmlns:a16="http://schemas.microsoft.com/office/drawing/2014/main" id="{E104432B-0185-4FB8-9E82-FDD421E04CBD}"/>
                </a:ext>
              </a:extLst>
            </xdr:cNvPr>
            <xdr:cNvSpPr/>
          </xdr:nvSpPr>
          <xdr:spPr>
            <a:xfrm>
              <a:off x="429769" y="2840355"/>
              <a:ext cx="1225297" cy="914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average</a:t>
              </a:r>
              <a:endParaRPr lang="lv-LV" sz="1100">
                <a:latin typeface="Arial" panose="020B0604020202020204" pitchFamily="34" charset="0"/>
                <a:cs typeface="Arial" panose="020B0604020202020204" pitchFamily="34" charset="0"/>
              </a:endParaRPr>
            </a:p>
            <a:p>
              <a:pPr algn="ctr"/>
              <a:r>
                <a:rPr lang="lv-LV" sz="1100">
                  <a:latin typeface="Arial" panose="020B0604020202020204" pitchFamily="34" charset="0"/>
                  <a:cs typeface="Arial" panose="020B0604020202020204" pitchFamily="34" charset="0"/>
                </a:rPr>
                <a:t>(25%)</a:t>
              </a:r>
              <a:endParaRPr lang="en-US" sz="1100">
                <a:latin typeface="Arial" panose="020B0604020202020204" pitchFamily="34" charset="0"/>
                <a:cs typeface="Arial" panose="020B0604020202020204" pitchFamily="34" charset="0"/>
              </a:endParaRPr>
            </a:p>
          </xdr:txBody>
        </xdr:sp>
      </xdr:grpSp>
      <xdr:sp macro="" textlink="">
        <xdr:nvSpPr>
          <xdr:cNvPr id="43" name="Oval 42">
            <a:extLst>
              <a:ext uri="{FF2B5EF4-FFF2-40B4-BE49-F238E27FC236}">
                <a16:creationId xmlns:a16="http://schemas.microsoft.com/office/drawing/2014/main" id="{44883F27-AC41-46DC-B660-B3BCC75AA237}"/>
              </a:ext>
            </a:extLst>
          </xdr:cNvPr>
          <xdr:cNvSpPr/>
        </xdr:nvSpPr>
        <xdr:spPr>
          <a:xfrm>
            <a:off x="10448925" y="6486525"/>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OR</a:t>
            </a:r>
          </a:p>
        </xdr:txBody>
      </xdr:sp>
      <xdr:sp macro="" textlink="">
        <xdr:nvSpPr>
          <xdr:cNvPr id="44" name="Oval 43">
            <a:extLst>
              <a:ext uri="{FF2B5EF4-FFF2-40B4-BE49-F238E27FC236}">
                <a16:creationId xmlns:a16="http://schemas.microsoft.com/office/drawing/2014/main" id="{3BD65D04-ED30-4B3C-AB3A-05FC059A7FCC}"/>
              </a:ext>
            </a:extLst>
          </xdr:cNvPr>
          <xdr:cNvSpPr/>
        </xdr:nvSpPr>
        <xdr:spPr>
          <a:xfrm>
            <a:off x="10448925" y="7162800"/>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lv-LV" sz="1100">
                <a:solidFill>
                  <a:schemeClr val="accent2"/>
                </a:solidFill>
                <a:latin typeface="Arial" panose="020B0604020202020204" pitchFamily="34" charset="0"/>
                <a:cs typeface="Arial" panose="020B0604020202020204" pitchFamily="34" charset="0"/>
              </a:rPr>
              <a:t>OR</a:t>
            </a:r>
          </a:p>
        </xdr:txBody>
      </xdr:sp>
    </xdr:grpSp>
    <xdr:clientData/>
  </xdr:twoCellAnchor>
  <xdr:twoCellAnchor>
    <xdr:from>
      <xdr:col>13</xdr:col>
      <xdr:colOff>609599</xdr:colOff>
      <xdr:row>12</xdr:row>
      <xdr:rowOff>1057</xdr:rowOff>
    </xdr:from>
    <xdr:to>
      <xdr:col>19</xdr:col>
      <xdr:colOff>85725</xdr:colOff>
      <xdr:row>15</xdr:row>
      <xdr:rowOff>9524</xdr:rowOff>
    </xdr:to>
    <xdr:grpSp>
      <xdr:nvGrpSpPr>
        <xdr:cNvPr id="51" name="Group 50">
          <a:extLst>
            <a:ext uri="{FF2B5EF4-FFF2-40B4-BE49-F238E27FC236}">
              <a16:creationId xmlns:a16="http://schemas.microsoft.com/office/drawing/2014/main" id="{E522D831-51F7-4EC0-943E-A470F779401E}"/>
            </a:ext>
          </a:extLst>
        </xdr:cNvPr>
        <xdr:cNvGrpSpPr/>
      </xdr:nvGrpSpPr>
      <xdr:grpSpPr>
        <a:xfrm>
          <a:off x="12496799" y="2484281"/>
          <a:ext cx="5876926" cy="546349"/>
          <a:chOff x="11410949" y="6734174"/>
          <a:chExt cx="5648326" cy="590550"/>
        </a:xfrm>
      </xdr:grpSpPr>
      <xdr:sp macro="" textlink="">
        <xdr:nvSpPr>
          <xdr:cNvPr id="52" name="Rectangle 51">
            <a:extLst>
              <a:ext uri="{FF2B5EF4-FFF2-40B4-BE49-F238E27FC236}">
                <a16:creationId xmlns:a16="http://schemas.microsoft.com/office/drawing/2014/main" id="{A75EE99D-77C2-4370-915F-3B8E0026D20B}"/>
              </a:ext>
            </a:extLst>
          </xdr:cNvPr>
          <xdr:cNvSpPr/>
        </xdr:nvSpPr>
        <xdr:spPr>
          <a:xfrm>
            <a:off x="11410949" y="6781801"/>
            <a:ext cx="2238375" cy="533400"/>
          </a:xfrm>
          <a:prstGeom prst="rect">
            <a:avLst/>
          </a:prstGeom>
          <a:solidFill>
            <a:schemeClr val="tx1">
              <a:lumMod val="75000"/>
              <a:lumOff val="2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r>
              <a:rPr lang="en-US" sz="1100">
                <a:latin typeface="Arial" panose="020B0604020202020204" pitchFamily="34" charset="0"/>
                <a:cs typeface="Arial" panose="020B0604020202020204" pitchFamily="34" charset="0"/>
              </a:rPr>
              <a:t>Industry</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Weighted</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last</a:t>
            </a:r>
            <a:r>
              <a:rPr lang="lv-LV" sz="1100">
                <a:latin typeface="Arial" panose="020B0604020202020204" pitchFamily="34" charset="0"/>
                <a:cs typeface="Arial" panose="020B0604020202020204" pitchFamily="34" charset="0"/>
              </a:rPr>
              <a:t> 3 </a:t>
            </a:r>
            <a:r>
              <a:rPr lang="en-US" sz="1100">
                <a:latin typeface="Arial" panose="020B0604020202020204" pitchFamily="34" charset="0"/>
                <a:cs typeface="Arial" panose="020B0604020202020204" pitchFamily="34" charset="0"/>
              </a:rPr>
              <a:t>year</a:t>
            </a:r>
            <a:r>
              <a:rPr lang="lv-LV" sz="1100">
                <a:latin typeface="Arial" panose="020B0604020202020204" pitchFamily="34" charset="0"/>
                <a:cs typeface="Arial" panose="020B0604020202020204" pitchFamily="34" charset="0"/>
              </a:rPr>
              <a:t> </a:t>
            </a:r>
            <a:r>
              <a:rPr lang="en-US" sz="1100">
                <a:latin typeface="Arial" panose="020B0604020202020204" pitchFamily="34" charset="0"/>
                <a:cs typeface="Arial" panose="020B0604020202020204" pitchFamily="34" charset="0"/>
              </a:rPr>
              <a:t>averag</a:t>
            </a:r>
            <a:r>
              <a:rPr lang="lv-LV" sz="1100">
                <a:latin typeface="Arial" panose="020B0604020202020204" pitchFamily="34" charset="0"/>
                <a:cs typeface="Arial" panose="020B0604020202020204" pitchFamily="34" charset="0"/>
              </a:rPr>
              <a:t>e</a:t>
            </a:r>
            <a:endParaRPr lang="en-US" sz="1100">
              <a:latin typeface="Arial" panose="020B0604020202020204" pitchFamily="34" charset="0"/>
              <a:cs typeface="Arial" panose="020B0604020202020204" pitchFamily="34" charset="0"/>
            </a:endParaRPr>
          </a:p>
        </xdr:txBody>
      </xdr:sp>
      <xdr:grpSp>
        <xdr:nvGrpSpPr>
          <xdr:cNvPr id="53" name="Group 52">
            <a:extLst>
              <a:ext uri="{FF2B5EF4-FFF2-40B4-BE49-F238E27FC236}">
                <a16:creationId xmlns:a16="http://schemas.microsoft.com/office/drawing/2014/main" id="{386149AC-7EA4-4693-9A0B-E401488E8A8B}"/>
              </a:ext>
            </a:extLst>
          </xdr:cNvPr>
          <xdr:cNvGrpSpPr/>
        </xdr:nvGrpSpPr>
        <xdr:grpSpPr>
          <a:xfrm>
            <a:off x="13820775" y="6781801"/>
            <a:ext cx="3238500" cy="533400"/>
            <a:chOff x="14277975" y="6781801"/>
            <a:chExt cx="2562226" cy="533400"/>
          </a:xfrm>
        </xdr:grpSpPr>
        <xdr:sp macro="" textlink="">
          <xdr:nvSpPr>
            <xdr:cNvPr id="55" name="Rectangle 54">
              <a:extLst>
                <a:ext uri="{FF2B5EF4-FFF2-40B4-BE49-F238E27FC236}">
                  <a16:creationId xmlns:a16="http://schemas.microsoft.com/office/drawing/2014/main" id="{211008FB-32B8-47E9-9752-C244130349BF}"/>
                </a:ext>
              </a:extLst>
            </xdr:cNvPr>
            <xdr:cNvSpPr/>
          </xdr:nvSpPr>
          <xdr:spPr>
            <a:xfrm>
              <a:off x="14277975" y="6781801"/>
              <a:ext cx="1171575"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a:t>
              </a:r>
            </a:p>
            <a:p>
              <a:pPr algn="ctr"/>
              <a:r>
                <a:rPr lang="lv-LV" sz="1100">
                  <a:latin typeface="Arial" panose="020B0604020202020204" pitchFamily="34" charset="0"/>
                  <a:cs typeface="Arial" panose="020B0604020202020204" pitchFamily="34" charset="0"/>
                </a:rPr>
                <a:t>(50%)</a:t>
              </a:r>
              <a:endParaRPr lang="en-US" sz="1100">
                <a:latin typeface="Arial" panose="020B0604020202020204" pitchFamily="34" charset="0"/>
                <a:cs typeface="Arial" panose="020B0604020202020204" pitchFamily="34" charset="0"/>
              </a:endParaRPr>
            </a:p>
          </xdr:txBody>
        </xdr:sp>
        <xdr:sp macro="" textlink="">
          <xdr:nvSpPr>
            <xdr:cNvPr id="56" name="Rectangle 55">
              <a:extLst>
                <a:ext uri="{FF2B5EF4-FFF2-40B4-BE49-F238E27FC236}">
                  <a16:creationId xmlns:a16="http://schemas.microsoft.com/office/drawing/2014/main" id="{894F2A83-6387-492A-8BE6-122DD9A5AE37}"/>
                </a:ext>
              </a:extLst>
            </xdr:cNvPr>
            <xdr:cNvSpPr/>
          </xdr:nvSpPr>
          <xdr:spPr>
            <a:xfrm>
              <a:off x="15459076"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CY-1 (25%)</a:t>
              </a:r>
              <a:endParaRPr lang="en-US" sz="1100">
                <a:latin typeface="Arial" panose="020B0604020202020204" pitchFamily="34" charset="0"/>
                <a:cs typeface="Arial" panose="020B0604020202020204" pitchFamily="34" charset="0"/>
              </a:endParaRPr>
            </a:p>
          </xdr:txBody>
        </xdr:sp>
        <xdr:sp macro="" textlink="">
          <xdr:nvSpPr>
            <xdr:cNvPr id="57" name="Rectangle 56">
              <a:extLst>
                <a:ext uri="{FF2B5EF4-FFF2-40B4-BE49-F238E27FC236}">
                  <a16:creationId xmlns:a16="http://schemas.microsoft.com/office/drawing/2014/main" id="{95E661A6-091F-42E1-BACA-979DB058F828}"/>
                </a:ext>
              </a:extLst>
            </xdr:cNvPr>
            <xdr:cNvSpPr/>
          </xdr:nvSpPr>
          <xdr:spPr>
            <a:xfrm>
              <a:off x="16154401" y="6781801"/>
              <a:ext cx="685800" cy="533400"/>
            </a:xfrm>
            <a:prstGeom prst="rect">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latin typeface="Arial" panose="020B0604020202020204" pitchFamily="34" charset="0"/>
                  <a:cs typeface="Arial" panose="020B0604020202020204" pitchFamily="34" charset="0"/>
                </a:rPr>
                <a:t>CY-2 (25%)</a:t>
              </a:r>
              <a:endParaRPr lang="en-US" sz="1100">
                <a:latin typeface="Arial" panose="020B0604020202020204" pitchFamily="34" charset="0"/>
                <a:cs typeface="Arial" panose="020B0604020202020204" pitchFamily="34" charset="0"/>
              </a:endParaRPr>
            </a:p>
          </xdr:txBody>
        </xdr:sp>
      </xdr:grpSp>
      <xdr:sp macro="" textlink="">
        <xdr:nvSpPr>
          <xdr:cNvPr id="54" name="Oval 53">
            <a:extLst>
              <a:ext uri="{FF2B5EF4-FFF2-40B4-BE49-F238E27FC236}">
                <a16:creationId xmlns:a16="http://schemas.microsoft.com/office/drawing/2014/main" id="{4D763C8B-4FDD-4CB3-961C-0C3742CDE17F}"/>
              </a:ext>
            </a:extLst>
          </xdr:cNvPr>
          <xdr:cNvSpPr/>
        </xdr:nvSpPr>
        <xdr:spPr>
          <a:xfrm>
            <a:off x="13420724" y="6734174"/>
            <a:ext cx="590550" cy="59055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lv-LV" sz="1100">
                <a:solidFill>
                  <a:schemeClr val="accent2"/>
                </a:solidFill>
                <a:latin typeface="Arial" panose="020B0604020202020204" pitchFamily="34" charset="0"/>
                <a:cs typeface="Arial" panose="020B0604020202020204" pitchFamily="34" charset="0"/>
              </a:rPr>
              <a:t>=</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276225</xdr:colOff>
      <xdr:row>15</xdr:row>
      <xdr:rowOff>133350</xdr:rowOff>
    </xdr:from>
    <xdr:to>
      <xdr:col>15</xdr:col>
      <xdr:colOff>371475</xdr:colOff>
      <xdr:row>34</xdr:row>
      <xdr:rowOff>171450</xdr:rowOff>
    </xdr:to>
    <xdr:graphicFrame macro="">
      <xdr:nvGraphicFramePr>
        <xdr:cNvPr id="3" name="Chart SD_CS1">
          <a:extLst>
            <a:ext uri="{FF2B5EF4-FFF2-40B4-BE49-F238E27FC236}">
              <a16:creationId xmlns:a16="http://schemas.microsoft.com/office/drawing/2014/main" id="{39943A57-862B-406D-B29F-A5E912549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2ECF8-FE3F-4930-9A42-F6B2B9B94BD4}">
  <sheetPr codeName="Sheet1">
    <tabColor theme="1" tint="0.249977111117893"/>
  </sheetPr>
  <dimension ref="A2:V18"/>
  <sheetViews>
    <sheetView showGridLines="0" tabSelected="1" zoomScaleNormal="100" workbookViewId="0">
      <selection activeCell="B2" sqref="B2:C2"/>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13" customWidth="1"/>
    <col min="6" max="6" width="27.77734375" style="1" bestFit="1" customWidth="1"/>
    <col min="7" max="7" width="3.77734375" style="1" customWidth="1"/>
    <col min="8" max="8" width="139.77734375" style="1" customWidth="1"/>
    <col min="9" max="16384" width="9.21875" style="1"/>
  </cols>
  <sheetData>
    <row r="2" spans="1:22" x14ac:dyDescent="0.25">
      <c r="B2" s="374" t="s">
        <v>457</v>
      </c>
      <c r="C2" s="374"/>
      <c r="F2" s="58" t="s">
        <v>587</v>
      </c>
      <c r="G2" s="58"/>
      <c r="H2" s="58"/>
      <c r="I2" s="58"/>
      <c r="J2" s="58"/>
      <c r="K2" s="58"/>
      <c r="L2" s="58"/>
      <c r="M2" s="58"/>
      <c r="N2" s="58"/>
      <c r="O2" s="58"/>
      <c r="P2" s="58"/>
      <c r="Q2" s="58"/>
      <c r="R2" s="58"/>
      <c r="S2" s="58"/>
      <c r="T2" s="58"/>
      <c r="U2" s="58"/>
      <c r="V2" s="58"/>
    </row>
    <row r="3" spans="1:22" x14ac:dyDescent="0.25">
      <c r="B3" s="375" t="s">
        <v>458</v>
      </c>
      <c r="C3" s="375"/>
    </row>
    <row r="4" spans="1:22" ht="27.6" x14ac:dyDescent="0.25">
      <c r="B4" s="377" t="s">
        <v>464</v>
      </c>
      <c r="C4" s="377"/>
      <c r="F4" s="124" t="s">
        <v>465</v>
      </c>
      <c r="H4" s="125" t="s">
        <v>588</v>
      </c>
    </row>
    <row r="5" spans="1:22" x14ac:dyDescent="0.25">
      <c r="B5" s="378" t="s">
        <v>593</v>
      </c>
      <c r="C5" s="378"/>
      <c r="F5" s="126"/>
    </row>
    <row r="6" spans="1:22" ht="55.2" x14ac:dyDescent="0.25">
      <c r="B6" s="376" t="s">
        <v>459</v>
      </c>
      <c r="C6" s="376"/>
      <c r="F6" s="124" t="s">
        <v>466</v>
      </c>
      <c r="H6" s="125" t="s">
        <v>589</v>
      </c>
    </row>
    <row r="7" spans="1:22" ht="28.5" customHeight="1" x14ac:dyDescent="0.25">
      <c r="B7" s="373" t="s">
        <v>594</v>
      </c>
      <c r="C7" s="373"/>
      <c r="F7" s="126"/>
    </row>
    <row r="8" spans="1:22" ht="27.6" x14ac:dyDescent="0.25">
      <c r="A8" s="14"/>
      <c r="B8" s="14"/>
      <c r="C8" s="14"/>
      <c r="D8" s="14"/>
      <c r="E8" s="15"/>
      <c r="F8" s="124" t="s">
        <v>467</v>
      </c>
      <c r="H8" s="125" t="s">
        <v>590</v>
      </c>
    </row>
    <row r="9" spans="1:22" x14ac:dyDescent="0.25">
      <c r="A9" s="14"/>
      <c r="B9" s="14"/>
      <c r="C9" s="14"/>
      <c r="D9" s="14"/>
      <c r="E9" s="15"/>
      <c r="F9" s="126"/>
    </row>
    <row r="10" spans="1:22" ht="27.6" x14ac:dyDescent="0.25">
      <c r="A10" s="14"/>
      <c r="B10" s="14"/>
      <c r="C10" s="14"/>
      <c r="D10" s="14"/>
      <c r="E10" s="15"/>
      <c r="F10" s="124" t="s">
        <v>468</v>
      </c>
      <c r="H10" s="59" t="s">
        <v>470</v>
      </c>
    </row>
    <row r="11" spans="1:22" x14ac:dyDescent="0.25">
      <c r="A11" s="14"/>
      <c r="B11" s="14"/>
      <c r="C11" s="14"/>
      <c r="D11" s="14"/>
      <c r="E11" s="15"/>
      <c r="F11" s="2"/>
    </row>
    <row r="12" spans="1:22" ht="55.2" x14ac:dyDescent="0.25">
      <c r="A12" s="14"/>
      <c r="B12" s="14"/>
      <c r="C12" s="14"/>
      <c r="D12" s="14"/>
      <c r="E12" s="15"/>
      <c r="F12" s="124" t="s">
        <v>469</v>
      </c>
      <c r="H12" s="127" t="s">
        <v>591</v>
      </c>
    </row>
    <row r="14" spans="1:22" ht="41.4" x14ac:dyDescent="0.25">
      <c r="A14" s="14"/>
      <c r="B14" s="14"/>
      <c r="C14" s="14"/>
      <c r="D14" s="14"/>
      <c r="E14" s="15"/>
      <c r="F14" s="124" t="s">
        <v>471</v>
      </c>
      <c r="H14" s="59" t="s">
        <v>592</v>
      </c>
    </row>
    <row r="15" spans="1:22" x14ac:dyDescent="0.25">
      <c r="A15" s="14"/>
      <c r="B15" s="14"/>
      <c r="C15" s="14"/>
      <c r="D15" s="14"/>
      <c r="E15" s="15"/>
    </row>
    <row r="16" spans="1:22" x14ac:dyDescent="0.25">
      <c r="A16" s="14"/>
      <c r="B16" s="14"/>
      <c r="C16" s="14"/>
      <c r="D16" s="14"/>
      <c r="E16" s="15"/>
    </row>
    <row r="17" spans="1:5" x14ac:dyDescent="0.25">
      <c r="A17" s="14"/>
      <c r="B17" s="14"/>
      <c r="C17" s="14"/>
      <c r="D17" s="14"/>
      <c r="E17" s="15"/>
    </row>
    <row r="18" spans="1:5" x14ac:dyDescent="0.25">
      <c r="A18" s="14"/>
      <c r="B18" s="14"/>
      <c r="C18" s="14"/>
      <c r="D18" s="14"/>
      <c r="E18" s="15"/>
    </row>
  </sheetData>
  <mergeCells count="6">
    <mergeCell ref="B7:C7"/>
    <mergeCell ref="B2:C2"/>
    <mergeCell ref="B3:C3"/>
    <mergeCell ref="B6:C6"/>
    <mergeCell ref="B4:C4"/>
    <mergeCell ref="B5:C5"/>
  </mergeCells>
  <hyperlinks>
    <hyperlink ref="B6" location="'SOE DETAILS'!A1" display="SOE DETAILS" xr:uid="{22C52BEB-524E-4395-B1BB-34AAAC5B302F}"/>
    <hyperlink ref="B6:C6" location="'VKS PAMATA DATI'!A1" display="VKS PAMATA DATI" xr:uid="{7117F62A-E51C-4A54-927D-F561BD628C3D}"/>
    <hyperlink ref="B4:C4" location="IEVADS!A1" display="IEVADS" xr:uid="{CFBD8F11-DE28-4B56-8780-1A48355A19E0}"/>
    <hyperlink ref="B5:C5" location="PROCESS!A1" display="PROCESS" xr:uid="{227B3324-6A25-462F-8F5C-005C7218531F}"/>
    <hyperlink ref="B7:C7" location="'FINANŠU MĒRĶU NOTEIKŠANA'!A1" display="FINANŠU MĒRĶU NOTEIKŠANA" xr:uid="{FBCD710F-F62F-4482-9A94-733D7420C0F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A3990-8A14-40D3-9447-86502E3B22B0}">
  <sheetPr codeName="Sheet22">
    <tabColor theme="4" tint="-0.249977111117893"/>
  </sheetPr>
  <dimension ref="B2:AD34"/>
  <sheetViews>
    <sheetView showGridLines="0" zoomScale="85" zoomScaleNormal="85" workbookViewId="0">
      <selection activeCell="F10" sqref="F1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65.77734375" style="1" customWidth="1"/>
    <col min="7" max="15" width="9.77734375" style="1" customWidth="1"/>
    <col min="16" max="16" width="9.21875" style="1"/>
    <col min="17" max="21" width="11" style="1" customWidth="1"/>
    <col min="22" max="16384" width="9.21875" style="1"/>
  </cols>
  <sheetData>
    <row r="2" spans="2:30" x14ac:dyDescent="0.25">
      <c r="B2" s="374" t="s">
        <v>191</v>
      </c>
      <c r="C2" s="374"/>
      <c r="F2" s="17" t="s">
        <v>195</v>
      </c>
      <c r="G2" s="17"/>
      <c r="H2" s="17"/>
      <c r="I2" s="17"/>
      <c r="J2" s="16"/>
      <c r="K2" s="16"/>
      <c r="L2" s="16"/>
      <c r="M2" s="16"/>
      <c r="N2" s="16"/>
      <c r="O2" s="16"/>
      <c r="P2" s="16"/>
      <c r="Q2" s="16"/>
      <c r="R2" s="16"/>
      <c r="S2" s="16"/>
      <c r="T2" s="16"/>
      <c r="U2" s="16"/>
      <c r="V2" s="16"/>
      <c r="W2" s="16"/>
      <c r="X2" s="16"/>
      <c r="Y2" s="16"/>
      <c r="Z2" s="16"/>
      <c r="AA2" s="16"/>
      <c r="AB2" s="16"/>
      <c r="AC2" s="16"/>
      <c r="AD2" s="16"/>
    </row>
    <row r="3" spans="2:30" x14ac:dyDescent="0.25">
      <c r="B3" s="375" t="s">
        <v>192</v>
      </c>
      <c r="C3" s="375"/>
      <c r="F3" s="18" t="s">
        <v>188</v>
      </c>
      <c r="G3" s="18"/>
      <c r="H3" s="18"/>
      <c r="I3" s="18"/>
      <c r="J3" s="10"/>
      <c r="K3" s="10"/>
      <c r="L3" s="10"/>
      <c r="M3" s="10"/>
      <c r="N3" s="10"/>
      <c r="O3" s="10"/>
      <c r="P3" s="10"/>
      <c r="Q3" s="10"/>
      <c r="R3" s="10"/>
      <c r="S3" s="10"/>
      <c r="T3" s="10"/>
      <c r="U3" s="10"/>
      <c r="V3" s="10"/>
      <c r="W3" s="10"/>
      <c r="X3" s="10"/>
      <c r="Y3" s="10"/>
      <c r="Z3" s="10"/>
      <c r="AA3" s="10"/>
      <c r="AB3" s="10"/>
      <c r="AC3" s="10"/>
      <c r="AD3" s="10"/>
    </row>
    <row r="4" spans="2:30" ht="20.399999999999999" x14ac:dyDescent="0.25">
      <c r="B4" s="398" t="s">
        <v>189</v>
      </c>
      <c r="C4" s="398"/>
      <c r="F4" s="12" t="s">
        <v>185</v>
      </c>
      <c r="G4" s="12"/>
      <c r="H4" s="12"/>
      <c r="I4" s="12"/>
      <c r="J4" s="11"/>
      <c r="K4" s="11"/>
      <c r="L4" s="11"/>
      <c r="M4" s="11"/>
      <c r="N4" s="11"/>
      <c r="O4" s="11"/>
      <c r="P4" s="11"/>
      <c r="Q4" s="11"/>
      <c r="R4" s="11"/>
      <c r="S4" s="11"/>
      <c r="T4" s="11"/>
      <c r="U4" s="11"/>
      <c r="V4" s="11"/>
      <c r="W4" s="11"/>
      <c r="X4" s="11"/>
      <c r="Y4" s="11"/>
      <c r="Z4" s="11"/>
      <c r="AA4" s="11"/>
      <c r="AB4" s="11"/>
      <c r="AC4" s="11"/>
      <c r="AD4" s="11"/>
    </row>
    <row r="6" spans="2:30" x14ac:dyDescent="0.25">
      <c r="F6" s="25"/>
      <c r="G6" s="25"/>
      <c r="H6" s="25"/>
      <c r="I6" s="25" t="s">
        <v>364</v>
      </c>
      <c r="J6" s="45" t="str">
        <f>'FINANŠU MĒRĶU NOTEIKŠANA'!H194</f>
        <v/>
      </c>
      <c r="K6" s="44" t="s">
        <v>451</v>
      </c>
    </row>
    <row r="7" spans="2:30" ht="15" customHeight="1" x14ac:dyDescent="0.25">
      <c r="F7" s="2"/>
      <c r="G7" s="2"/>
      <c r="H7" s="2"/>
      <c r="I7" s="2"/>
      <c r="J7" s="14"/>
      <c r="K7" s="14"/>
      <c r="Q7" s="14"/>
      <c r="R7" s="14"/>
    </row>
    <row r="8" spans="2:30" ht="15" customHeight="1" x14ac:dyDescent="0.25">
      <c r="F8" s="2"/>
      <c r="J8" s="14"/>
      <c r="K8" s="65" t="s">
        <v>251</v>
      </c>
      <c r="L8" s="65"/>
      <c r="M8" s="65"/>
      <c r="N8" s="114"/>
      <c r="O8" s="14"/>
      <c r="Q8" s="14"/>
      <c r="R8" s="14"/>
    </row>
    <row r="9" spans="2:30" ht="15" customHeight="1" x14ac:dyDescent="0.25">
      <c r="F9" s="2"/>
      <c r="G9" s="3" t="s">
        <v>349</v>
      </c>
      <c r="H9" s="3" t="s">
        <v>348</v>
      </c>
      <c r="I9" s="3" t="s">
        <v>347</v>
      </c>
      <c r="J9" s="291" t="s">
        <v>178</v>
      </c>
      <c r="K9" s="115" t="s">
        <v>247</v>
      </c>
      <c r="L9" s="115" t="s">
        <v>248</v>
      </c>
      <c r="M9" s="115" t="s">
        <v>249</v>
      </c>
      <c r="N9" s="115" t="s">
        <v>250</v>
      </c>
      <c r="O9" s="27" t="s">
        <v>246</v>
      </c>
      <c r="Q9" s="14"/>
      <c r="R9" s="14"/>
      <c r="Z9" s="52" t="s">
        <v>239</v>
      </c>
      <c r="AA9" s="14"/>
      <c r="AB9" s="14"/>
      <c r="AC9" s="14"/>
      <c r="AD9" s="14"/>
    </row>
    <row r="10" spans="2:30" ht="15" customHeight="1" x14ac:dyDescent="0.25">
      <c r="F10" s="2" t="s">
        <v>318</v>
      </c>
      <c r="G10" s="49">
        <f>'VKS PAMATA DATI'!N15</f>
        <v>0</v>
      </c>
      <c r="H10" s="49">
        <f>'VKS PAMATA DATI'!M15</f>
        <v>0</v>
      </c>
      <c r="I10" s="49">
        <f>'VKS PAMATA DATI'!L15</f>
        <v>0</v>
      </c>
      <c r="J10" s="49">
        <f>'VKS PAMATA DATI'!K15</f>
        <v>0</v>
      </c>
      <c r="K10" s="32"/>
      <c r="L10" s="32"/>
      <c r="M10" s="32"/>
      <c r="N10" s="32"/>
      <c r="O10" s="309" t="str">
        <f>O11</f>
        <v/>
      </c>
      <c r="Q10" s="379" t="s">
        <v>443</v>
      </c>
      <c r="R10" s="379"/>
      <c r="S10" s="379"/>
      <c r="T10" s="379"/>
      <c r="U10" s="379"/>
      <c r="Z10" s="52"/>
      <c r="AA10" s="14"/>
      <c r="AB10" s="14"/>
      <c r="AC10" s="14"/>
      <c r="AD10" s="14"/>
    </row>
    <row r="11" spans="2:30" x14ac:dyDescent="0.25">
      <c r="F11" s="25" t="s">
        <v>362</v>
      </c>
      <c r="G11" s="49"/>
      <c r="H11" s="49"/>
      <c r="I11" s="49"/>
      <c r="J11" s="49">
        <f>'VKS PAMATA DATI'!K15</f>
        <v>0</v>
      </c>
      <c r="K11" s="293" t="str">
        <f>IFERROR(J11-($J$11-$O$12)/5,"")</f>
        <v/>
      </c>
      <c r="L11" s="293" t="str">
        <f>IFERROR(K11-($J$11-$O$12)/5,"")</f>
        <v/>
      </c>
      <c r="M11" s="293" t="str">
        <f>IFERROR(L11-($J$11-$O$12)/5,"")</f>
        <v/>
      </c>
      <c r="N11" s="293" t="str">
        <f>IFERROR(M11-($J$11-$O$12)/5,"")</f>
        <v/>
      </c>
      <c r="O11" s="309" t="str">
        <f>O12</f>
        <v/>
      </c>
      <c r="Q11" s="379"/>
      <c r="R11" s="379"/>
      <c r="S11" s="379"/>
      <c r="T11" s="379"/>
      <c r="U11" s="379"/>
      <c r="Z11" s="75" t="s">
        <v>237</v>
      </c>
      <c r="AA11" s="285">
        <f>ROUNDDOWN(MIN(G10:O14),2)</f>
        <v>0</v>
      </c>
      <c r="AB11" s="77" t="e" cm="1">
        <f t="array" aca="1" ref="AB11" ca="1">setChartAxis("COM_DP (f)","Chart COM_DP2","Min","Value","Primary",AA11)</f>
        <v>#NAME?</v>
      </c>
      <c r="AC11" s="77"/>
      <c r="AD11" s="78"/>
    </row>
    <row r="12" spans="2:30" x14ac:dyDescent="0.25">
      <c r="F12" s="116" t="str">
        <f>K6</f>
        <v>Benchmark value CY+5</v>
      </c>
      <c r="G12" s="281"/>
      <c r="H12" s="281"/>
      <c r="I12" s="281"/>
      <c r="J12" s="281"/>
      <c r="K12" s="281"/>
      <c r="L12" s="281"/>
      <c r="M12" s="281"/>
      <c r="N12" s="281"/>
      <c r="O12" s="294" t="str">
        <f>J6</f>
        <v/>
      </c>
      <c r="Q12" s="379"/>
      <c r="R12" s="379"/>
      <c r="S12" s="379"/>
      <c r="T12" s="379"/>
      <c r="U12" s="379"/>
      <c r="Z12" s="79" t="s">
        <v>238</v>
      </c>
      <c r="AA12" s="118">
        <f>ROUNDUP(MAX(G10:O14),2)</f>
        <v>0</v>
      </c>
      <c r="AB12" s="81" t="e" cm="1">
        <f t="array" aca="1" ref="AB12" ca="1">setChartAxis("COM_DP (f)","Chart COM_DP2","Max","Value","Primary",AA12)</f>
        <v>#NAME?</v>
      </c>
      <c r="AC12" s="81"/>
      <c r="AD12" s="82"/>
    </row>
    <row r="13" spans="2:30" x14ac:dyDescent="0.25">
      <c r="F13" s="25" t="s">
        <v>350</v>
      </c>
      <c r="G13" s="281"/>
      <c r="H13" s="281"/>
      <c r="I13" s="281"/>
      <c r="J13" s="281"/>
      <c r="K13" s="281"/>
      <c r="L13" s="281"/>
      <c r="M13" s="281"/>
      <c r="N13" s="295"/>
      <c r="O13" s="283" t="str">
        <f>IFERROR(IF(J6&lt;6.5%,J6*0.75,J6*0.85),"")</f>
        <v/>
      </c>
      <c r="Q13" s="379"/>
      <c r="R13" s="379"/>
      <c r="S13" s="379"/>
      <c r="T13" s="379"/>
      <c r="U13" s="379"/>
    </row>
    <row r="14" spans="2:30" x14ac:dyDescent="0.25">
      <c r="F14" s="25" t="s">
        <v>351</v>
      </c>
      <c r="G14" s="281"/>
      <c r="H14" s="281"/>
      <c r="I14" s="281"/>
      <c r="J14" s="281"/>
      <c r="K14" s="281"/>
      <c r="L14" s="281"/>
      <c r="M14" s="281"/>
      <c r="N14" s="295"/>
      <c r="O14" s="49" t="str">
        <f>IFERROR(IF(J6&lt;6.5%,J6*1.25,J6*1.15),"")</f>
        <v/>
      </c>
      <c r="Q14" s="379"/>
      <c r="R14" s="379"/>
      <c r="S14" s="379"/>
      <c r="T14" s="379"/>
      <c r="U14" s="379"/>
    </row>
    <row r="15" spans="2:30" x14ac:dyDescent="0.25">
      <c r="F15" s="2"/>
      <c r="G15" s="2"/>
      <c r="H15" s="2"/>
      <c r="I15" s="2"/>
      <c r="J15" s="14"/>
      <c r="K15" s="14"/>
      <c r="Q15" s="379"/>
      <c r="R15" s="379"/>
      <c r="S15" s="379"/>
      <c r="T15" s="379"/>
      <c r="U15" s="379"/>
    </row>
    <row r="16" spans="2:30" s="14" customFormat="1" x14ac:dyDescent="0.25">
      <c r="E16" s="63"/>
      <c r="F16" s="1"/>
      <c r="G16" s="1"/>
      <c r="H16" s="1"/>
      <c r="I16" s="1"/>
      <c r="Q16" s="1"/>
      <c r="R16" s="1"/>
      <c r="S16" s="1"/>
      <c r="T16" s="1"/>
      <c r="U16" s="1"/>
    </row>
    <row r="17" spans="5:21" s="14" customFormat="1" x14ac:dyDescent="0.25">
      <c r="E17" s="63"/>
      <c r="Q17" s="38" t="s">
        <v>202</v>
      </c>
      <c r="R17" s="38"/>
      <c r="S17" s="38"/>
      <c r="T17" s="38"/>
      <c r="U17" s="38"/>
    </row>
    <row r="18" spans="5:21" s="14" customFormat="1" x14ac:dyDescent="0.25">
      <c r="E18" s="63"/>
      <c r="Q18" s="1" t="s">
        <v>352</v>
      </c>
    </row>
    <row r="19" spans="5:21" s="14" customFormat="1" x14ac:dyDescent="0.3">
      <c r="E19" s="63"/>
    </row>
    <row r="20" spans="5:21" s="14" customFormat="1" x14ac:dyDescent="0.3">
      <c r="E20" s="63"/>
    </row>
    <row r="21" spans="5:21" x14ac:dyDescent="0.25">
      <c r="F21" s="14"/>
      <c r="G21" s="14"/>
      <c r="H21" s="14"/>
      <c r="I21" s="14"/>
      <c r="N21" s="14"/>
      <c r="O21" s="14"/>
      <c r="P21" s="14"/>
      <c r="Q21" s="14"/>
      <c r="R21" s="14"/>
      <c r="S21" s="14"/>
      <c r="T21" s="14"/>
      <c r="U21" s="14"/>
    </row>
    <row r="22" spans="5:21" s="14" customFormat="1" x14ac:dyDescent="0.3">
      <c r="E22" s="63"/>
    </row>
    <row r="23" spans="5:21" s="14" customFormat="1" x14ac:dyDescent="0.25">
      <c r="E23" s="63"/>
      <c r="F23" s="1"/>
      <c r="G23" s="1"/>
      <c r="H23" s="1"/>
      <c r="I23" s="1"/>
    </row>
    <row r="24" spans="5:21" s="14" customFormat="1" x14ac:dyDescent="0.25">
      <c r="E24" s="63"/>
      <c r="F24" s="1"/>
      <c r="G24" s="1"/>
      <c r="H24" s="1"/>
      <c r="I24" s="1"/>
    </row>
    <row r="25" spans="5:21" s="14" customFormat="1" x14ac:dyDescent="0.25">
      <c r="E25" s="63"/>
      <c r="F25" s="1"/>
      <c r="G25" s="1"/>
      <c r="H25" s="1"/>
      <c r="I25" s="1"/>
    </row>
    <row r="26" spans="5:21" s="14" customFormat="1" x14ac:dyDescent="0.25">
      <c r="E26" s="63"/>
      <c r="F26" s="1"/>
      <c r="G26" s="1"/>
      <c r="H26" s="1"/>
      <c r="I26" s="1"/>
    </row>
    <row r="27" spans="5:21" x14ac:dyDescent="0.25">
      <c r="N27" s="14"/>
      <c r="O27" s="14"/>
      <c r="P27" s="14"/>
      <c r="Q27" s="14"/>
      <c r="R27" s="14"/>
      <c r="S27" s="14"/>
      <c r="T27" s="14"/>
      <c r="U27" s="14"/>
    </row>
    <row r="28" spans="5:21" x14ac:dyDescent="0.25">
      <c r="N28" s="14"/>
      <c r="O28" s="14"/>
      <c r="P28" s="14"/>
      <c r="Q28" s="14"/>
      <c r="R28" s="14"/>
      <c r="S28" s="14"/>
      <c r="T28" s="14"/>
      <c r="U28" s="14"/>
    </row>
    <row r="29" spans="5:21" x14ac:dyDescent="0.25">
      <c r="N29" s="14"/>
      <c r="O29" s="14"/>
      <c r="P29" s="14"/>
      <c r="Q29" s="14"/>
      <c r="R29" s="14"/>
      <c r="S29" s="14"/>
      <c r="T29" s="14"/>
      <c r="U29" s="14"/>
    </row>
    <row r="30" spans="5:21" x14ac:dyDescent="0.25">
      <c r="N30" s="14"/>
      <c r="O30" s="14"/>
      <c r="P30" s="14"/>
      <c r="Q30" s="14"/>
      <c r="R30" s="14"/>
      <c r="S30" s="14"/>
      <c r="T30" s="14"/>
      <c r="U30" s="14"/>
    </row>
    <row r="31" spans="5:21" x14ac:dyDescent="0.25">
      <c r="N31" s="14"/>
      <c r="O31" s="14"/>
      <c r="P31" s="14"/>
      <c r="Q31" s="14"/>
      <c r="R31" s="14"/>
      <c r="S31" s="14"/>
      <c r="T31" s="14"/>
      <c r="U31" s="14"/>
    </row>
    <row r="32" spans="5:21" x14ac:dyDescent="0.25">
      <c r="N32" s="14"/>
      <c r="O32" s="14"/>
      <c r="P32" s="14"/>
      <c r="Q32" s="14"/>
      <c r="R32" s="14"/>
      <c r="S32" s="14"/>
      <c r="T32" s="14"/>
      <c r="U32" s="14"/>
    </row>
    <row r="33" spans="14:21" x14ac:dyDescent="0.25">
      <c r="N33" s="14"/>
      <c r="O33" s="14"/>
      <c r="P33" s="14"/>
      <c r="Q33" s="14"/>
      <c r="R33" s="14"/>
      <c r="S33" s="14"/>
      <c r="T33" s="14"/>
      <c r="U33" s="14"/>
    </row>
    <row r="34" spans="14:21" x14ac:dyDescent="0.25">
      <c r="N34" s="14"/>
      <c r="O34" s="14"/>
      <c r="P34" s="14"/>
      <c r="Q34" s="14"/>
      <c r="R34" s="14"/>
      <c r="S34" s="14"/>
      <c r="T34" s="14"/>
      <c r="U34" s="14"/>
    </row>
  </sheetData>
  <mergeCells count="4">
    <mergeCell ref="B2:C2"/>
    <mergeCell ref="B3:C3"/>
    <mergeCell ref="B4:C4"/>
    <mergeCell ref="Q10:U15"/>
  </mergeCells>
  <hyperlinks>
    <hyperlink ref="B4" location="'SOE DETAILS'!A1" display="SOE DETAILS" xr:uid="{43D34339-C1F2-45A5-938D-BE916E5030E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D5C4-EB2E-46D8-A372-C4177F4D9006}">
  <sheetPr codeName="Sheet24">
    <tabColor theme="4" tint="-0.249977111117893"/>
  </sheetPr>
  <dimension ref="B2:AE55"/>
  <sheetViews>
    <sheetView showGridLines="0" zoomScale="85" zoomScaleNormal="85" workbookViewId="0">
      <selection activeCell="F10" sqref="F1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6" customWidth="1"/>
    <col min="6" max="25" width="12.5546875" style="1" customWidth="1"/>
    <col min="26" max="16384" width="9.21875" style="1"/>
  </cols>
  <sheetData>
    <row r="2" spans="2:31" x14ac:dyDescent="0.25">
      <c r="B2" s="374" t="s">
        <v>191</v>
      </c>
      <c r="C2" s="374"/>
      <c r="F2" s="17" t="s">
        <v>195</v>
      </c>
      <c r="G2" s="16"/>
      <c r="H2" s="16"/>
      <c r="I2" s="16"/>
      <c r="J2" s="16"/>
      <c r="K2" s="16"/>
      <c r="L2" s="16"/>
      <c r="M2" s="16"/>
      <c r="N2" s="16"/>
      <c r="O2" s="16"/>
      <c r="P2" s="16"/>
      <c r="Q2" s="16"/>
      <c r="R2" s="16"/>
      <c r="S2" s="16"/>
      <c r="T2" s="16"/>
      <c r="U2" s="16"/>
      <c r="V2" s="16"/>
      <c r="W2" s="16"/>
      <c r="X2" s="16"/>
      <c r="Y2" s="16"/>
    </row>
    <row r="3" spans="2:31" x14ac:dyDescent="0.25">
      <c r="B3" s="375" t="s">
        <v>192</v>
      </c>
      <c r="C3" s="375"/>
      <c r="F3" s="41" t="s">
        <v>188</v>
      </c>
      <c r="G3" s="10"/>
      <c r="H3" s="10"/>
      <c r="I3" s="10"/>
      <c r="J3" s="10"/>
      <c r="K3" s="10"/>
      <c r="L3" s="10"/>
      <c r="M3" s="10"/>
      <c r="N3" s="10"/>
      <c r="O3" s="10"/>
      <c r="P3" s="10"/>
      <c r="Q3" s="10"/>
      <c r="R3" s="10"/>
      <c r="S3" s="10"/>
      <c r="T3" s="10"/>
      <c r="U3" s="10"/>
      <c r="V3" s="10"/>
      <c r="W3" s="10"/>
      <c r="X3" s="10"/>
      <c r="Y3" s="10"/>
    </row>
    <row r="4" spans="2:31" ht="20.399999999999999" x14ac:dyDescent="0.25">
      <c r="B4" s="398" t="s">
        <v>189</v>
      </c>
      <c r="C4" s="398"/>
      <c r="F4" s="12" t="s">
        <v>180</v>
      </c>
      <c r="G4" s="11"/>
      <c r="H4" s="11"/>
      <c r="I4" s="11"/>
      <c r="J4" s="11"/>
      <c r="K4" s="11"/>
      <c r="L4" s="11"/>
      <c r="M4" s="11"/>
      <c r="N4" s="11"/>
      <c r="O4" s="11"/>
      <c r="P4" s="11"/>
      <c r="Q4" s="11"/>
      <c r="R4" s="11"/>
      <c r="S4" s="11"/>
      <c r="T4" s="11"/>
      <c r="U4" s="11"/>
      <c r="V4" s="11"/>
      <c r="W4" s="11"/>
      <c r="X4" s="11"/>
      <c r="Y4" s="11"/>
    </row>
    <row r="6" spans="2:31" x14ac:dyDescent="0.25">
      <c r="F6" s="43" t="s">
        <v>179</v>
      </c>
      <c r="G6" s="42"/>
      <c r="H6" s="42"/>
      <c r="I6" s="42"/>
      <c r="J6" s="42"/>
      <c r="K6" s="120"/>
      <c r="L6" s="120"/>
      <c r="M6" s="120"/>
      <c r="N6" s="120"/>
      <c r="O6" s="120"/>
      <c r="P6" s="120"/>
      <c r="Q6" s="120"/>
      <c r="R6" s="120"/>
      <c r="S6" s="120"/>
      <c r="T6" s="120"/>
      <c r="U6" s="120"/>
      <c r="V6" s="42"/>
      <c r="W6" s="42"/>
      <c r="X6" s="42"/>
      <c r="Y6" s="42"/>
      <c r="AA6" s="52" t="s">
        <v>239</v>
      </c>
      <c r="AB6" s="14"/>
      <c r="AC6" s="14"/>
      <c r="AD6" s="14"/>
      <c r="AE6" s="14"/>
    </row>
    <row r="7" spans="2:31" x14ac:dyDescent="0.25">
      <c r="AA7" s="75" t="s">
        <v>237</v>
      </c>
      <c r="AB7" s="277">
        <f>'KOM_KS (p)'!X11</f>
        <v>0</v>
      </c>
      <c r="AC7" s="77" t="e" cm="1">
        <f t="array" aca="1" ref="AC7" ca="1">setChartAxis("COM_Summary (f)","Chart COM_CS1","Min","Value","Primary",AB7)</f>
        <v>#NAME?</v>
      </c>
      <c r="AD7" s="77"/>
      <c r="AE7" s="78"/>
    </row>
    <row r="8" spans="2:31" x14ac:dyDescent="0.25">
      <c r="AA8" s="79" t="s">
        <v>238</v>
      </c>
      <c r="AB8" s="278">
        <f>'KOM_KS (p)'!X12</f>
        <v>0</v>
      </c>
      <c r="AC8" s="81" t="e" cm="1">
        <f t="array" aca="1" ref="AC8" ca="1">setChartAxis("COM_Summary (f)","Chart COM_CS1","Max","Value","Primary",AB8)</f>
        <v>#NAME?</v>
      </c>
      <c r="AD8" s="81"/>
      <c r="AE8" s="82"/>
    </row>
    <row r="10" spans="2:31" x14ac:dyDescent="0.25">
      <c r="AA10" s="52" t="s">
        <v>239</v>
      </c>
      <c r="AB10" s="14"/>
      <c r="AC10" s="14"/>
      <c r="AD10" s="14"/>
      <c r="AE10" s="14"/>
    </row>
    <row r="11" spans="2:31" x14ac:dyDescent="0.25">
      <c r="AA11" s="75" t="s">
        <v>237</v>
      </c>
      <c r="AB11" s="298">
        <f>'COM_RT (f)'!Y13</f>
        <v>0</v>
      </c>
      <c r="AC11" s="77" t="e" cm="1">
        <f t="array" aca="1" ref="AC11" ca="1">setChartAxis("COM_Summary (f)","Chart COM_RT2","Min","Value","Primary",AB11)</f>
        <v>#NAME?</v>
      </c>
      <c r="AD11" s="77"/>
      <c r="AE11" s="78"/>
    </row>
    <row r="12" spans="2:31" x14ac:dyDescent="0.25">
      <c r="AA12" s="79" t="s">
        <v>238</v>
      </c>
      <c r="AB12" s="299">
        <f>'COM_RT (f)'!Y14</f>
        <v>0</v>
      </c>
      <c r="AC12" s="81" t="e" cm="1">
        <f t="array" aca="1" ref="AC12" ca="1">setChartAxis("COM_Summary (f)","Chart COM_RT2","Max","Value","Primary",AB12)</f>
        <v>#NAME?</v>
      </c>
      <c r="AD12" s="81"/>
      <c r="AE12" s="82"/>
    </row>
    <row r="13" spans="2:31" x14ac:dyDescent="0.25">
      <c r="AB13" s="300"/>
    </row>
    <row r="14" spans="2:31" x14ac:dyDescent="0.25">
      <c r="AA14" s="52" t="s">
        <v>239</v>
      </c>
      <c r="AB14" s="267"/>
      <c r="AC14" s="14"/>
      <c r="AD14" s="14"/>
      <c r="AE14" s="14"/>
    </row>
    <row r="15" spans="2:31" x14ac:dyDescent="0.25">
      <c r="AA15" s="75" t="s">
        <v>237</v>
      </c>
      <c r="AB15" s="298">
        <f>'COM_RT (f)'!$Y$17</f>
        <v>0</v>
      </c>
      <c r="AC15" s="77" t="e" cm="1">
        <f t="array" aca="1" ref="AC15" ca="1">setChartAxis("COM_Summary (f)","Chart COM_RT3","Min","Value","Primary",AB15)</f>
        <v>#NAME?</v>
      </c>
      <c r="AD15" s="77"/>
      <c r="AE15" s="78"/>
    </row>
    <row r="16" spans="2:31" x14ac:dyDescent="0.25">
      <c r="AA16" s="79" t="s">
        <v>238</v>
      </c>
      <c r="AB16" s="299">
        <f>'COM_RT (f)'!$Y$18</f>
        <v>0</v>
      </c>
      <c r="AC16" s="81" t="e" cm="1">
        <f t="array" aca="1" ref="AC16" ca="1">setChartAxis("COM_Summary (f)","Chart COM_RT3","Max","Value","Primary",AB16)</f>
        <v>#NAME?</v>
      </c>
      <c r="AD16" s="81"/>
      <c r="AE16" s="82"/>
    </row>
    <row r="17" spans="6:31" x14ac:dyDescent="0.25">
      <c r="AB17" s="300"/>
    </row>
    <row r="18" spans="6:31" x14ac:dyDescent="0.25">
      <c r="AA18" s="52" t="s">
        <v>239</v>
      </c>
      <c r="AB18" s="267"/>
      <c r="AC18" s="14"/>
      <c r="AD18" s="14"/>
      <c r="AE18" s="14"/>
    </row>
    <row r="19" spans="6:31" x14ac:dyDescent="0.25">
      <c r="AA19" s="75" t="s">
        <v>237</v>
      </c>
      <c r="AB19" s="298">
        <f>'COM_RT (f)'!Y21</f>
        <v>0</v>
      </c>
      <c r="AC19" s="77" t="e" cm="1">
        <f t="array" aca="1" ref="AC19" ca="1">setChartAxis("COM_Summary (f)","Chart COM_RT4","Min","Value","Primary",AB19)</f>
        <v>#NAME?</v>
      </c>
      <c r="AD19" s="77"/>
      <c r="AE19" s="78"/>
    </row>
    <row r="20" spans="6:31" x14ac:dyDescent="0.25">
      <c r="AA20" s="79" t="s">
        <v>238</v>
      </c>
      <c r="AB20" s="299">
        <f>'COM_RT (f)'!Y22</f>
        <v>0</v>
      </c>
      <c r="AC20" s="81" t="e" cm="1">
        <f t="array" aca="1" ref="AC20" ca="1">setChartAxis("COM_Summary (f)","Chart COM_RT4","Max","Value","Primary",AB20)</f>
        <v>#NAME?</v>
      </c>
      <c r="AD20" s="81"/>
      <c r="AE20" s="82"/>
    </row>
    <row r="22" spans="6:31" x14ac:dyDescent="0.25">
      <c r="AA22" s="52" t="s">
        <v>239</v>
      </c>
      <c r="AB22" s="14"/>
      <c r="AC22" s="14"/>
      <c r="AD22" s="14"/>
      <c r="AE22" s="14"/>
    </row>
    <row r="23" spans="6:31" x14ac:dyDescent="0.25">
      <c r="AA23" s="75" t="s">
        <v>237</v>
      </c>
      <c r="AB23" s="296">
        <f>'COM_DP (f)'!$AA$11</f>
        <v>0</v>
      </c>
      <c r="AC23" s="77" t="e" cm="1">
        <f t="array" aca="1" ref="AC23" ca="1">setChartAxis("COM_Summary (f)","Chart COM_DP2","Min","Value","Primary",AB23)</f>
        <v>#NAME?</v>
      </c>
      <c r="AD23" s="77"/>
      <c r="AE23" s="78"/>
    </row>
    <row r="24" spans="6:31" x14ac:dyDescent="0.25">
      <c r="F24" s="120" t="s">
        <v>194</v>
      </c>
      <c r="G24" s="42"/>
      <c r="H24" s="42"/>
      <c r="I24" s="42"/>
      <c r="J24" s="42"/>
      <c r="K24" s="42"/>
      <c r="L24" s="42"/>
      <c r="M24" s="42"/>
      <c r="N24" s="42"/>
      <c r="O24" s="42"/>
      <c r="P24" s="42"/>
      <c r="Q24" s="42"/>
      <c r="R24" s="42"/>
      <c r="S24" s="42"/>
      <c r="T24" s="42"/>
      <c r="U24" s="42"/>
      <c r="V24" s="42"/>
      <c r="W24" s="42"/>
      <c r="X24" s="42"/>
      <c r="Y24" s="42"/>
      <c r="AA24" s="79" t="s">
        <v>238</v>
      </c>
      <c r="AB24" s="297">
        <f>'COM_DP (f)'!$AA$12</f>
        <v>0</v>
      </c>
      <c r="AC24" s="81" t="e" cm="1">
        <f t="array" aca="1" ref="AC24" ca="1">setChartAxis("COM_Summary (f)","Chart COM_DP2","Max","Value","Primary",AB24)</f>
        <v>#NAME?</v>
      </c>
      <c r="AD24" s="81"/>
      <c r="AE24" s="82"/>
    </row>
    <row r="25" spans="6:31" x14ac:dyDescent="0.25">
      <c r="F25" s="53" t="s">
        <v>188</v>
      </c>
      <c r="G25" s="53"/>
      <c r="H25" s="53"/>
      <c r="I25" s="53"/>
      <c r="J25" s="53"/>
      <c r="K25" s="53"/>
      <c r="M25" s="121" t="s">
        <v>181</v>
      </c>
      <c r="N25" s="53"/>
      <c r="O25" s="53"/>
      <c r="P25" s="53"/>
      <c r="Q25" s="53"/>
      <c r="R25" s="53"/>
      <c r="T25" s="121" t="s">
        <v>260</v>
      </c>
      <c r="U25" s="53"/>
      <c r="V25" s="53"/>
      <c r="W25" s="53"/>
      <c r="X25" s="53"/>
      <c r="Y25" s="53"/>
    </row>
    <row r="55" spans="6:25" x14ac:dyDescent="0.25">
      <c r="F55" s="43" t="s">
        <v>185</v>
      </c>
      <c r="G55" s="42"/>
      <c r="H55" s="42"/>
      <c r="I55" s="42"/>
      <c r="J55" s="42"/>
      <c r="K55" s="42"/>
      <c r="L55" s="42"/>
      <c r="M55" s="42"/>
      <c r="N55" s="42"/>
      <c r="O55" s="42"/>
      <c r="P55" s="42"/>
      <c r="Q55" s="42"/>
      <c r="R55" s="42"/>
      <c r="S55" s="42"/>
      <c r="T55" s="42"/>
      <c r="U55" s="42"/>
      <c r="V55" s="42"/>
      <c r="W55" s="42"/>
      <c r="X55" s="42"/>
      <c r="Y55" s="42"/>
    </row>
  </sheetData>
  <mergeCells count="3">
    <mergeCell ref="B2:C2"/>
    <mergeCell ref="B3:C3"/>
    <mergeCell ref="B4:C4"/>
  </mergeCells>
  <hyperlinks>
    <hyperlink ref="B4" location="'SOE DETAILS'!A1" display="SOE DETAILS" xr:uid="{B390949B-0384-4819-BEE6-C2CBC435518F}"/>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CAFF-1D8F-411D-BE67-EE2D7A4B6355}">
  <sheetPr codeName="Sheet28">
    <tabColor theme="5" tint="-0.249977111117893"/>
  </sheetPr>
  <dimension ref="A2:AA221"/>
  <sheetViews>
    <sheetView showGridLines="0" zoomScale="85" zoomScaleNormal="85" workbookViewId="0">
      <selection activeCell="J30" sqref="J30"/>
    </sheetView>
  </sheetViews>
  <sheetFormatPr defaultColWidth="9.21875" defaultRowHeight="13.8" x14ac:dyDescent="0.25"/>
  <cols>
    <col min="1" max="1" width="1.5546875" style="1" customWidth="1"/>
    <col min="2" max="2" width="6.77734375" style="1" customWidth="1"/>
    <col min="3" max="3" width="6.21875" style="1" bestFit="1" customWidth="1"/>
    <col min="4" max="4" width="1.77734375" style="1" customWidth="1"/>
    <col min="5" max="5" width="1.5546875" style="62" customWidth="1"/>
    <col min="6" max="6" width="24.44140625" style="1" customWidth="1"/>
    <col min="7" max="7" width="29.21875" style="1" customWidth="1"/>
    <col min="8" max="8" width="26" style="3" customWidth="1"/>
    <col min="9" max="9" width="9.21875" style="1"/>
    <col min="10" max="10" width="25.44140625" style="1" customWidth="1"/>
    <col min="11" max="13" width="13.5546875" style="1" customWidth="1"/>
    <col min="14" max="19" width="15.5546875" style="1" customWidth="1"/>
    <col min="20" max="16384" width="9.21875" style="1"/>
  </cols>
  <sheetData>
    <row r="2" spans="2:27" ht="20.399999999999999" x14ac:dyDescent="0.35">
      <c r="B2" s="374" t="s">
        <v>191</v>
      </c>
      <c r="C2" s="374"/>
      <c r="F2" s="301" t="s">
        <v>195</v>
      </c>
      <c r="G2" s="21"/>
      <c r="H2" s="21"/>
      <c r="I2" s="21"/>
      <c r="J2" s="21"/>
      <c r="K2" s="21"/>
      <c r="L2" s="21"/>
      <c r="M2" s="21"/>
      <c r="N2" s="21"/>
      <c r="O2" s="21"/>
      <c r="P2" s="21"/>
      <c r="Q2" s="21"/>
      <c r="R2" s="21"/>
      <c r="S2" s="21"/>
      <c r="T2" s="21"/>
      <c r="U2" s="21"/>
      <c r="V2" s="21"/>
      <c r="W2" s="21"/>
      <c r="X2" s="21"/>
      <c r="Y2" s="21"/>
      <c r="Z2" s="21"/>
      <c r="AA2" s="21"/>
    </row>
    <row r="3" spans="2:27" ht="20.399999999999999" x14ac:dyDescent="0.35">
      <c r="B3" s="375" t="s">
        <v>192</v>
      </c>
      <c r="C3" s="375"/>
      <c r="F3" s="302" t="s">
        <v>369</v>
      </c>
      <c r="G3" s="20"/>
      <c r="H3" s="20"/>
      <c r="I3" s="20"/>
      <c r="J3" s="20"/>
      <c r="K3" s="20"/>
      <c r="L3" s="20"/>
      <c r="M3" s="20"/>
      <c r="N3" s="20"/>
      <c r="O3" s="20"/>
      <c r="P3" s="20"/>
      <c r="Q3" s="20"/>
      <c r="R3" s="20"/>
      <c r="S3" s="20"/>
      <c r="T3" s="20"/>
      <c r="U3" s="20"/>
      <c r="V3" s="20"/>
      <c r="W3" s="20"/>
      <c r="X3" s="20"/>
      <c r="Y3" s="20"/>
      <c r="Z3" s="20"/>
      <c r="AA3" s="20"/>
    </row>
    <row r="4" spans="2:27" ht="20.399999999999999" x14ac:dyDescent="0.25">
      <c r="B4" s="398" t="s">
        <v>189</v>
      </c>
      <c r="C4" s="398"/>
      <c r="F4" s="23" t="s">
        <v>341</v>
      </c>
      <c r="G4" s="24"/>
      <c r="H4" s="24"/>
      <c r="I4" s="24"/>
      <c r="J4" s="24"/>
      <c r="K4" s="24"/>
      <c r="L4" s="24"/>
      <c r="M4" s="24"/>
      <c r="N4" s="24"/>
      <c r="O4" s="24"/>
      <c r="P4" s="24"/>
      <c r="Q4" s="24"/>
      <c r="R4" s="24"/>
      <c r="S4" s="24"/>
      <c r="T4" s="24"/>
      <c r="U4" s="24"/>
      <c r="V4" s="24"/>
      <c r="W4" s="24"/>
      <c r="X4" s="24"/>
      <c r="Y4" s="24"/>
      <c r="Z4" s="24"/>
      <c r="AA4" s="24"/>
    </row>
    <row r="6" spans="2:27" ht="20.399999999999999" x14ac:dyDescent="0.35">
      <c r="F6" s="302" t="s">
        <v>179</v>
      </c>
      <c r="G6" s="20"/>
      <c r="H6" s="20"/>
      <c r="I6" s="20"/>
      <c r="J6" s="20"/>
      <c r="K6" s="20"/>
      <c r="L6" s="20"/>
      <c r="M6" s="20"/>
      <c r="N6" s="20"/>
      <c r="O6" s="20"/>
      <c r="P6" s="20"/>
      <c r="Q6" s="20"/>
      <c r="R6" s="20"/>
      <c r="S6" s="20"/>
      <c r="T6" s="20"/>
      <c r="U6" s="20"/>
      <c r="V6" s="20"/>
      <c r="W6" s="20"/>
      <c r="X6" s="20"/>
      <c r="Y6" s="20"/>
      <c r="Z6" s="20"/>
      <c r="AA6" s="20"/>
    </row>
    <row r="8" spans="2:27" s="14" customFormat="1" ht="15" customHeight="1" x14ac:dyDescent="0.25">
      <c r="C8" s="406" t="s">
        <v>179</v>
      </c>
      <c r="E8" s="63"/>
      <c r="F8" s="234" t="s">
        <v>334</v>
      </c>
      <c r="G8" s="40"/>
      <c r="H8" s="1"/>
      <c r="I8" s="1"/>
      <c r="J8" s="1"/>
      <c r="K8" s="1"/>
      <c r="L8" s="1"/>
      <c r="M8" s="1"/>
      <c r="N8" s="1"/>
      <c r="O8" s="1"/>
      <c r="P8" s="1"/>
      <c r="Q8" s="1"/>
      <c r="R8" s="1"/>
      <c r="S8" s="1"/>
      <c r="T8" s="1"/>
      <c r="U8" s="1"/>
      <c r="V8" s="1"/>
      <c r="W8" s="1"/>
      <c r="X8" s="1"/>
      <c r="Y8" s="1"/>
      <c r="Z8" s="1"/>
      <c r="AA8" s="1"/>
    </row>
    <row r="9" spans="2:27" s="14" customFormat="1" x14ac:dyDescent="0.25">
      <c r="C9" s="406"/>
      <c r="E9" s="63"/>
      <c r="F9" s="1"/>
      <c r="G9" s="40"/>
      <c r="H9" s="1"/>
      <c r="I9" s="1"/>
      <c r="J9" s="1"/>
      <c r="K9" s="1"/>
      <c r="L9" s="1"/>
      <c r="M9" s="1"/>
      <c r="N9" s="1"/>
      <c r="O9" s="1"/>
      <c r="P9" s="1"/>
      <c r="Q9" s="1"/>
      <c r="R9" s="1"/>
      <c r="S9" s="1"/>
      <c r="T9" s="1"/>
      <c r="U9" s="1"/>
      <c r="V9" s="1"/>
      <c r="W9" s="1"/>
      <c r="X9" s="1"/>
      <c r="Y9" s="1"/>
      <c r="Z9" s="1"/>
      <c r="AA9" s="1"/>
    </row>
    <row r="10" spans="2:27" s="14" customFormat="1" x14ac:dyDescent="0.25">
      <c r="C10" s="406"/>
      <c r="E10" s="63"/>
      <c r="F10" s="1"/>
      <c r="G10" s="40"/>
      <c r="H10" s="1"/>
      <c r="I10" s="1"/>
      <c r="J10" s="1"/>
      <c r="K10" s="1"/>
      <c r="L10" s="1"/>
      <c r="M10" s="1"/>
      <c r="N10" s="1"/>
      <c r="O10" s="1"/>
      <c r="P10" s="1"/>
      <c r="Q10" s="1"/>
      <c r="R10" s="1"/>
      <c r="S10" s="1"/>
      <c r="T10" s="1"/>
      <c r="U10" s="1"/>
      <c r="V10" s="1"/>
      <c r="W10" s="1"/>
      <c r="X10" s="1"/>
      <c r="Y10" s="1"/>
      <c r="Z10" s="1"/>
      <c r="AA10" s="1"/>
    </row>
    <row r="11" spans="2:27" s="14" customFormat="1" x14ac:dyDescent="0.25">
      <c r="C11" s="406"/>
      <c r="E11" s="63"/>
      <c r="F11" s="1"/>
      <c r="G11" s="40"/>
      <c r="H11" s="1"/>
      <c r="I11" s="1"/>
      <c r="J11" s="1"/>
      <c r="K11" s="1"/>
      <c r="L11" s="1"/>
      <c r="M11" s="1"/>
      <c r="N11" s="1"/>
      <c r="O11" s="1"/>
      <c r="P11" s="1"/>
      <c r="Q11" s="1"/>
      <c r="R11" s="1"/>
      <c r="S11" s="1"/>
      <c r="T11" s="1"/>
      <c r="U11" s="1"/>
      <c r="V11" s="1"/>
      <c r="W11" s="1"/>
      <c r="X11" s="1"/>
      <c r="Y11" s="1"/>
      <c r="Z11" s="1"/>
      <c r="AA11" s="1"/>
    </row>
    <row r="12" spans="2:27" s="14" customFormat="1" x14ac:dyDescent="0.25">
      <c r="C12" s="406"/>
      <c r="E12" s="63"/>
      <c r="F12" s="1"/>
      <c r="G12" s="40"/>
      <c r="H12" s="1"/>
      <c r="I12" s="1"/>
      <c r="J12" s="1"/>
      <c r="K12" s="1"/>
      <c r="L12" s="1"/>
      <c r="M12" s="1"/>
      <c r="N12" s="1"/>
      <c r="O12" s="1"/>
      <c r="P12" s="1"/>
      <c r="Q12" s="1"/>
      <c r="R12" s="1"/>
      <c r="S12" s="1"/>
      <c r="T12" s="1"/>
      <c r="U12" s="1"/>
      <c r="V12" s="1"/>
      <c r="W12" s="1"/>
      <c r="X12" s="1"/>
      <c r="Y12" s="1"/>
      <c r="Z12" s="1"/>
      <c r="AA12" s="1"/>
    </row>
    <row r="13" spans="2:27" s="14" customFormat="1" x14ac:dyDescent="0.25">
      <c r="C13" s="406"/>
      <c r="E13" s="63"/>
      <c r="F13" s="1"/>
      <c r="G13" s="40"/>
      <c r="H13" s="1"/>
      <c r="I13" s="1"/>
      <c r="J13" s="1"/>
      <c r="K13" s="1"/>
      <c r="L13" s="1"/>
      <c r="M13" s="1"/>
      <c r="N13" s="1"/>
      <c r="O13" s="1"/>
      <c r="P13" s="1"/>
      <c r="Q13" s="1"/>
      <c r="R13" s="1"/>
      <c r="S13" s="1"/>
      <c r="T13" s="1"/>
      <c r="U13" s="1"/>
      <c r="V13" s="1"/>
      <c r="W13" s="1"/>
      <c r="X13" s="1"/>
      <c r="Y13" s="1"/>
      <c r="Z13" s="1"/>
      <c r="AA13" s="1"/>
    </row>
    <row r="14" spans="2:27" s="14" customFormat="1" x14ac:dyDescent="0.25">
      <c r="C14" s="406"/>
      <c r="E14" s="63"/>
      <c r="F14" s="1"/>
      <c r="G14" s="40"/>
      <c r="H14" s="1"/>
      <c r="I14" s="1"/>
      <c r="J14" s="1"/>
      <c r="K14" s="1"/>
      <c r="L14" s="1"/>
      <c r="M14" s="1"/>
      <c r="N14" s="1"/>
      <c r="O14" s="1"/>
      <c r="P14" s="1"/>
      <c r="Q14" s="1"/>
      <c r="R14" s="1"/>
      <c r="S14" s="1"/>
      <c r="T14" s="1"/>
      <c r="U14" s="1"/>
      <c r="V14" s="1"/>
      <c r="W14" s="1"/>
      <c r="X14" s="1"/>
      <c r="Y14" s="1"/>
      <c r="Z14" s="1"/>
      <c r="AA14" s="1"/>
    </row>
    <row r="15" spans="2:27" s="14" customFormat="1" x14ac:dyDescent="0.25">
      <c r="C15" s="406"/>
      <c r="E15" s="63"/>
      <c r="F15" s="1"/>
      <c r="G15" s="40"/>
      <c r="H15" s="1"/>
      <c r="I15" s="1"/>
      <c r="J15" s="1"/>
      <c r="K15" s="1"/>
      <c r="L15" s="1"/>
      <c r="M15" s="1"/>
      <c r="N15" s="1"/>
      <c r="O15" s="1"/>
      <c r="P15" s="1"/>
      <c r="Q15" s="1"/>
      <c r="R15" s="1"/>
      <c r="S15" s="1"/>
      <c r="T15" s="1"/>
      <c r="U15" s="1"/>
      <c r="V15" s="1"/>
      <c r="W15" s="1"/>
      <c r="X15" s="1"/>
      <c r="Y15" s="1"/>
      <c r="Z15" s="1"/>
      <c r="AA15" s="1"/>
    </row>
    <row r="16" spans="2:27" s="14" customFormat="1" x14ac:dyDescent="0.25">
      <c r="C16" s="406"/>
      <c r="E16" s="63"/>
      <c r="F16" s="1"/>
      <c r="G16" s="40"/>
      <c r="H16" s="1"/>
      <c r="I16" s="1"/>
      <c r="J16" s="1"/>
      <c r="K16" s="1"/>
      <c r="L16" s="1"/>
      <c r="M16" s="1"/>
      <c r="N16" s="1"/>
      <c r="O16" s="1"/>
      <c r="P16" s="1"/>
      <c r="Q16" s="1"/>
      <c r="R16" s="1"/>
      <c r="S16" s="1"/>
      <c r="T16" s="1"/>
      <c r="U16" s="1"/>
      <c r="V16" s="1"/>
      <c r="W16" s="1"/>
      <c r="X16" s="1"/>
      <c r="Y16" s="1"/>
      <c r="Z16" s="1"/>
      <c r="AA16" s="1"/>
    </row>
    <row r="17" spans="3:27" s="14" customFormat="1" x14ac:dyDescent="0.25">
      <c r="C17" s="406"/>
      <c r="E17" s="63"/>
      <c r="F17" s="1"/>
      <c r="G17" s="40"/>
      <c r="H17" s="1"/>
      <c r="I17" s="1"/>
      <c r="J17" s="1"/>
      <c r="K17" s="1"/>
      <c r="L17" s="1"/>
      <c r="M17" s="1"/>
      <c r="N17" s="1"/>
      <c r="O17" s="1"/>
      <c r="P17" s="1"/>
      <c r="Q17" s="1"/>
      <c r="R17" s="1"/>
      <c r="S17" s="1"/>
      <c r="T17" s="1"/>
      <c r="U17" s="1"/>
      <c r="V17" s="1"/>
      <c r="W17" s="1"/>
      <c r="X17" s="1"/>
      <c r="Y17" s="1"/>
      <c r="Z17" s="1"/>
      <c r="AA17" s="1"/>
    </row>
    <row r="18" spans="3:27" s="14" customFormat="1" x14ac:dyDescent="0.25">
      <c r="C18" s="406"/>
      <c r="E18" s="63"/>
      <c r="F18" s="1"/>
      <c r="G18" s="40"/>
      <c r="H18" s="1"/>
      <c r="I18" s="1"/>
      <c r="J18" s="1"/>
      <c r="K18" s="1"/>
      <c r="L18" s="1"/>
      <c r="M18" s="1"/>
      <c r="N18" s="1"/>
      <c r="O18" s="1"/>
      <c r="P18" s="1"/>
      <c r="Q18" s="1"/>
      <c r="R18" s="1"/>
      <c r="S18" s="1"/>
      <c r="T18" s="1"/>
      <c r="U18" s="1"/>
      <c r="V18" s="1"/>
      <c r="W18" s="1"/>
      <c r="X18" s="1"/>
      <c r="Y18" s="1"/>
      <c r="Z18" s="1"/>
      <c r="AA18" s="1"/>
    </row>
    <row r="19" spans="3:27" s="14" customFormat="1" x14ac:dyDescent="0.25">
      <c r="C19" s="406"/>
      <c r="E19" s="63"/>
      <c r="F19" s="1"/>
      <c r="G19" s="40"/>
      <c r="H19" s="1"/>
      <c r="I19" s="1"/>
      <c r="J19" s="1"/>
      <c r="K19" s="1"/>
      <c r="L19" s="1"/>
      <c r="M19" s="1"/>
      <c r="N19" s="1"/>
      <c r="O19" s="1"/>
      <c r="P19" s="1"/>
      <c r="Q19" s="1"/>
      <c r="R19" s="1"/>
      <c r="S19" s="1"/>
      <c r="T19" s="1"/>
      <c r="U19" s="1"/>
      <c r="V19" s="1"/>
      <c r="W19" s="1"/>
      <c r="X19" s="1"/>
      <c r="Y19" s="1"/>
      <c r="Z19" s="1"/>
      <c r="AA19" s="1"/>
    </row>
    <row r="20" spans="3:27" s="217" customFormat="1" ht="14.25" customHeight="1" x14ac:dyDescent="0.25">
      <c r="C20" s="406"/>
      <c r="E20" s="218"/>
      <c r="F20" s="219"/>
      <c r="G20" s="220"/>
      <c r="H20" s="219"/>
      <c r="I20" s="219"/>
      <c r="J20" s="219"/>
      <c r="K20" s="219"/>
      <c r="L20" s="219"/>
      <c r="M20" s="219"/>
      <c r="N20" s="219"/>
      <c r="O20" s="219"/>
      <c r="P20" s="219"/>
      <c r="Q20" s="219"/>
      <c r="R20" s="219"/>
      <c r="S20" s="219"/>
      <c r="T20" s="219"/>
      <c r="U20" s="219"/>
      <c r="V20" s="219"/>
      <c r="W20" s="219"/>
      <c r="X20" s="219"/>
      <c r="Y20" s="219"/>
      <c r="Z20" s="219"/>
      <c r="AA20" s="219"/>
    </row>
    <row r="21" spans="3:27" s="217" customFormat="1" ht="14.25" customHeight="1" x14ac:dyDescent="0.25">
      <c r="C21" s="406"/>
      <c r="E21" s="218"/>
      <c r="F21" s="219"/>
      <c r="G21" s="220"/>
      <c r="H21" s="219"/>
      <c r="I21" s="219"/>
      <c r="J21" s="219"/>
      <c r="K21" s="219"/>
      <c r="L21" s="219"/>
      <c r="M21" s="219"/>
      <c r="N21" s="219"/>
      <c r="O21" s="219"/>
      <c r="P21" s="219"/>
      <c r="Q21" s="219"/>
      <c r="R21" s="219"/>
      <c r="S21" s="219"/>
      <c r="T21" s="219"/>
      <c r="U21" s="219"/>
      <c r="V21" s="219"/>
      <c r="W21" s="219"/>
      <c r="X21" s="219"/>
      <c r="Y21" s="219"/>
      <c r="Z21" s="219"/>
      <c r="AA21" s="219"/>
    </row>
    <row r="22" spans="3:27" s="217" customFormat="1" x14ac:dyDescent="0.25">
      <c r="C22" s="406"/>
      <c r="E22" s="218"/>
      <c r="F22" s="219"/>
      <c r="G22" s="25" t="s">
        <v>342</v>
      </c>
      <c r="H22" s="400" t="s">
        <v>319</v>
      </c>
      <c r="I22" s="401"/>
      <c r="J22" s="401"/>
      <c r="K22" s="247" t="s">
        <v>345</v>
      </c>
      <c r="L22" s="219" t="s">
        <v>346</v>
      </c>
      <c r="M22" s="219"/>
      <c r="N22" s="219"/>
      <c r="O22" s="219"/>
      <c r="P22" s="219"/>
      <c r="Q22" s="219"/>
      <c r="R22" s="219"/>
      <c r="S22" s="219"/>
      <c r="T22" s="219"/>
      <c r="U22" s="219"/>
      <c r="V22" s="219"/>
      <c r="W22" s="219"/>
      <c r="X22" s="219"/>
      <c r="Y22" s="219"/>
      <c r="Z22" s="219"/>
      <c r="AA22" s="219"/>
    </row>
    <row r="23" spans="3:27" s="217" customFormat="1" x14ac:dyDescent="0.25">
      <c r="C23" s="406"/>
      <c r="E23" s="218"/>
      <c r="F23" s="219"/>
      <c r="G23" s="25" t="s">
        <v>344</v>
      </c>
      <c r="H23" s="402" t="str">
        <f>IF(COUNTA('VKS PAMATA DATI'!J41:J55)&lt;&gt;0,COUNTA('VKS PAMATA DATI'!J41:J55),"")</f>
        <v/>
      </c>
      <c r="I23" s="402"/>
      <c r="J23" s="402"/>
      <c r="K23" s="219"/>
      <c r="L23" s="219"/>
      <c r="M23" s="219"/>
      <c r="N23" s="219"/>
      <c r="O23" s="219"/>
      <c r="P23" s="219"/>
      <c r="Q23" s="219"/>
      <c r="R23" s="219"/>
      <c r="S23" s="219"/>
      <c r="T23" s="219"/>
      <c r="U23" s="219"/>
      <c r="V23" s="219"/>
      <c r="W23" s="219"/>
      <c r="X23" s="219"/>
      <c r="Y23" s="219"/>
      <c r="Z23" s="219"/>
      <c r="AA23" s="219"/>
    </row>
    <row r="24" spans="3:27" s="217" customFormat="1" ht="13.5" customHeight="1" x14ac:dyDescent="0.25">
      <c r="C24" s="406"/>
      <c r="E24" s="218"/>
      <c r="F24" s="219"/>
      <c r="G24" s="25"/>
      <c r="H24" s="219"/>
      <c r="I24" s="219"/>
      <c r="J24" s="219"/>
      <c r="K24" s="219"/>
      <c r="L24" s="219"/>
      <c r="M24" s="219"/>
      <c r="N24" s="219"/>
      <c r="O24" s="219"/>
      <c r="P24" s="219"/>
      <c r="Q24" s="219"/>
      <c r="R24" s="219"/>
      <c r="S24" s="219"/>
      <c r="T24" s="219"/>
      <c r="U24" s="219"/>
      <c r="V24" s="219"/>
      <c r="W24" s="219"/>
      <c r="X24" s="219"/>
      <c r="Y24" s="219"/>
      <c r="Z24" s="219"/>
      <c r="AA24" s="219"/>
    </row>
    <row r="25" spans="3:27" s="217" customFormat="1" x14ac:dyDescent="0.25">
      <c r="C25" s="406"/>
      <c r="E25" s="218"/>
      <c r="F25" s="219"/>
      <c r="H25" s="225" t="s">
        <v>319</v>
      </c>
      <c r="I25" s="226"/>
      <c r="J25" s="228" t="s">
        <v>320</v>
      </c>
      <c r="K25" s="219"/>
      <c r="L25" s="219"/>
      <c r="M25" s="219"/>
      <c r="N25" s="219"/>
      <c r="O25" s="219"/>
      <c r="P25" s="219"/>
      <c r="Q25" s="219"/>
      <c r="R25" s="219"/>
      <c r="S25" s="219"/>
      <c r="T25" s="219"/>
      <c r="U25" s="219"/>
      <c r="V25" s="219"/>
      <c r="W25" s="219"/>
      <c r="X25" s="219"/>
      <c r="Y25" s="219"/>
      <c r="Z25" s="219"/>
      <c r="AA25" s="219"/>
    </row>
    <row r="26" spans="3:27" s="217" customFormat="1" x14ac:dyDescent="0.25">
      <c r="C26" s="406"/>
      <c r="E26" s="218"/>
      <c r="F26" s="219"/>
      <c r="G26" s="222"/>
      <c r="H26" s="224" t="s">
        <v>326</v>
      </c>
      <c r="I26" s="229"/>
      <c r="J26" s="224" t="s">
        <v>326</v>
      </c>
      <c r="K26" s="219"/>
      <c r="L26" s="219"/>
      <c r="M26" s="219"/>
      <c r="N26" s="219"/>
      <c r="O26" s="219"/>
      <c r="P26" s="219"/>
      <c r="Q26" s="219"/>
      <c r="R26" s="219"/>
      <c r="S26" s="219"/>
      <c r="T26" s="219"/>
      <c r="U26" s="219"/>
      <c r="V26" s="219"/>
      <c r="W26" s="219"/>
      <c r="X26" s="219"/>
      <c r="Y26" s="219"/>
      <c r="Z26" s="219"/>
      <c r="AA26" s="219"/>
    </row>
    <row r="27" spans="3:27" s="217" customFormat="1" x14ac:dyDescent="0.25">
      <c r="C27" s="406"/>
      <c r="E27" s="218"/>
      <c r="F27" s="219"/>
      <c r="G27" s="222" t="s">
        <v>324</v>
      </c>
      <c r="H27" s="223">
        <v>0.75</v>
      </c>
      <c r="I27" s="231"/>
      <c r="J27" s="227"/>
      <c r="K27" s="219"/>
      <c r="L27" s="219"/>
      <c r="M27" s="219"/>
      <c r="N27" s="219"/>
      <c r="O27" s="219"/>
      <c r="P27" s="219"/>
      <c r="Q27" s="219"/>
      <c r="R27" s="219"/>
      <c r="S27" s="219"/>
      <c r="T27" s="219"/>
      <c r="U27" s="219"/>
      <c r="V27" s="219"/>
      <c r="W27" s="219"/>
      <c r="X27" s="219"/>
      <c r="Y27" s="219"/>
      <c r="Z27" s="219"/>
      <c r="AA27" s="219"/>
    </row>
    <row r="28" spans="3:27" s="217" customFormat="1" x14ac:dyDescent="0.25">
      <c r="C28" s="406"/>
      <c r="E28" s="218"/>
      <c r="F28" s="219"/>
      <c r="G28" s="222" t="s">
        <v>325</v>
      </c>
      <c r="H28" s="223">
        <f>1-H27</f>
        <v>0.25</v>
      </c>
      <c r="I28" s="230"/>
      <c r="J28" s="227" t="str">
        <f>IF(1-J27=100%,"",1-J27)</f>
        <v/>
      </c>
      <c r="K28" s="219"/>
      <c r="L28" s="219"/>
      <c r="M28" s="219"/>
      <c r="N28" s="219"/>
      <c r="O28" s="219"/>
      <c r="P28" s="219"/>
      <c r="Q28" s="219"/>
      <c r="R28" s="219"/>
      <c r="S28" s="219"/>
      <c r="T28" s="219"/>
      <c r="U28" s="219"/>
      <c r="V28" s="219"/>
      <c r="W28" s="219"/>
      <c r="X28" s="219"/>
      <c r="Y28" s="219"/>
      <c r="Z28" s="219"/>
      <c r="AA28" s="219"/>
    </row>
    <row r="29" spans="3:27" s="217" customFormat="1" x14ac:dyDescent="0.25">
      <c r="C29" s="406"/>
      <c r="E29" s="218"/>
      <c r="F29" s="219"/>
      <c r="G29" s="222"/>
      <c r="H29" s="231" t="s">
        <v>329</v>
      </c>
      <c r="I29" s="229"/>
      <c r="J29" s="231" t="s">
        <v>329</v>
      </c>
      <c r="K29" s="221"/>
      <c r="L29" s="219"/>
      <c r="M29" s="219"/>
      <c r="N29" s="219"/>
      <c r="O29" s="219"/>
      <c r="P29" s="219"/>
      <c r="Q29" s="219"/>
      <c r="R29" s="219"/>
      <c r="S29" s="219"/>
      <c r="T29" s="219"/>
      <c r="U29" s="219"/>
      <c r="V29" s="219"/>
      <c r="W29" s="219"/>
      <c r="X29" s="219"/>
      <c r="Y29" s="219"/>
      <c r="Z29" s="219"/>
      <c r="AA29" s="219"/>
    </row>
    <row r="30" spans="3:27" s="217" customFormat="1" x14ac:dyDescent="0.25">
      <c r="C30" s="406"/>
      <c r="E30" s="218"/>
      <c r="F30" s="219"/>
      <c r="G30" s="222"/>
      <c r="H30" s="224" t="s">
        <v>327</v>
      </c>
      <c r="I30" s="230"/>
      <c r="J30" s="224" t="s">
        <v>327</v>
      </c>
      <c r="K30" s="219"/>
      <c r="L30" s="219"/>
      <c r="M30" s="219"/>
      <c r="N30" s="219"/>
      <c r="O30" s="219"/>
      <c r="P30" s="219"/>
      <c r="Q30" s="219"/>
      <c r="R30" s="219"/>
      <c r="S30" s="219"/>
      <c r="T30" s="219"/>
      <c r="U30" s="219"/>
      <c r="V30" s="219"/>
      <c r="W30" s="219"/>
      <c r="X30" s="219"/>
      <c r="Y30" s="219"/>
      <c r="Z30" s="219"/>
      <c r="AA30" s="219"/>
    </row>
    <row r="31" spans="3:27" s="217" customFormat="1" x14ac:dyDescent="0.25">
      <c r="C31" s="406"/>
      <c r="E31" s="218"/>
      <c r="F31" s="219"/>
      <c r="G31" s="222" t="s">
        <v>324</v>
      </c>
      <c r="H31" s="223">
        <v>0.5</v>
      </c>
      <c r="I31" s="231"/>
      <c r="J31" s="227"/>
      <c r="K31" s="219"/>
      <c r="L31" s="219"/>
      <c r="M31" s="219"/>
      <c r="N31" s="219"/>
      <c r="O31" s="219"/>
      <c r="P31" s="219"/>
      <c r="Q31" s="219"/>
      <c r="R31" s="219"/>
      <c r="S31" s="219"/>
      <c r="T31" s="219"/>
      <c r="U31" s="219"/>
      <c r="V31" s="219"/>
      <c r="W31" s="219"/>
      <c r="X31" s="219"/>
      <c r="Y31" s="219"/>
      <c r="Z31" s="219"/>
      <c r="AA31" s="219"/>
    </row>
    <row r="32" spans="3:27" s="217" customFormat="1" x14ac:dyDescent="0.25">
      <c r="C32" s="406"/>
      <c r="E32" s="218"/>
      <c r="F32" s="219"/>
      <c r="G32" s="222" t="s">
        <v>325</v>
      </c>
      <c r="H32" s="223">
        <f>1-H31</f>
        <v>0.5</v>
      </c>
      <c r="I32" s="230"/>
      <c r="J32" s="227" t="str">
        <f>IF(1-J31=100%,"",1-J31)</f>
        <v/>
      </c>
      <c r="K32" s="219"/>
      <c r="L32" s="219"/>
      <c r="M32" s="219"/>
      <c r="N32" s="219"/>
      <c r="O32" s="219"/>
      <c r="P32" s="219"/>
      <c r="Q32" s="219"/>
      <c r="R32" s="219"/>
      <c r="S32" s="219"/>
      <c r="T32" s="219"/>
      <c r="U32" s="219"/>
      <c r="V32" s="219"/>
      <c r="W32" s="219"/>
      <c r="X32" s="219"/>
      <c r="Y32" s="219"/>
      <c r="Z32" s="219"/>
      <c r="AA32" s="219"/>
    </row>
    <row r="33" spans="3:27" s="217" customFormat="1" x14ac:dyDescent="0.25">
      <c r="C33" s="406"/>
      <c r="E33" s="218"/>
      <c r="F33" s="219"/>
      <c r="G33" s="222"/>
      <c r="H33" s="231" t="s">
        <v>329</v>
      </c>
      <c r="I33" s="229"/>
      <c r="J33" s="231" t="s">
        <v>329</v>
      </c>
      <c r="K33" s="221"/>
      <c r="L33" s="219"/>
      <c r="M33" s="219"/>
      <c r="N33" s="219"/>
      <c r="O33" s="219"/>
      <c r="P33" s="219"/>
      <c r="Q33" s="219"/>
      <c r="R33" s="219"/>
      <c r="S33" s="219"/>
      <c r="T33" s="219"/>
      <c r="U33" s="219"/>
      <c r="V33" s="219"/>
      <c r="W33" s="219"/>
      <c r="X33" s="219"/>
      <c r="Y33" s="219"/>
      <c r="Z33" s="219"/>
      <c r="AA33" s="219"/>
    </row>
    <row r="34" spans="3:27" s="217" customFormat="1" x14ac:dyDescent="0.25">
      <c r="C34" s="406"/>
      <c r="E34" s="218"/>
      <c r="F34" s="219"/>
      <c r="H34" s="224" t="s">
        <v>328</v>
      </c>
      <c r="I34" s="230"/>
      <c r="J34" s="224" t="s">
        <v>328</v>
      </c>
      <c r="K34" s="219"/>
      <c r="L34" s="219"/>
      <c r="M34" s="219"/>
      <c r="N34" s="219"/>
      <c r="O34" s="219"/>
      <c r="P34" s="219"/>
      <c r="Q34" s="219"/>
      <c r="R34" s="219"/>
      <c r="S34" s="219"/>
      <c r="T34" s="219"/>
      <c r="U34" s="219"/>
      <c r="V34" s="219"/>
      <c r="W34" s="219"/>
      <c r="X34" s="219"/>
      <c r="Y34" s="219"/>
      <c r="Z34" s="219"/>
      <c r="AA34" s="219"/>
    </row>
    <row r="35" spans="3:27" s="217" customFormat="1" x14ac:dyDescent="0.25">
      <c r="C35" s="406"/>
      <c r="E35" s="218"/>
      <c r="F35" s="219"/>
      <c r="G35" s="222" t="s">
        <v>324</v>
      </c>
      <c r="H35" s="223">
        <v>0.25</v>
      </c>
      <c r="I35" s="231"/>
      <c r="J35" s="227"/>
      <c r="K35" s="219"/>
      <c r="L35" s="219"/>
      <c r="M35" s="219"/>
      <c r="N35" s="219"/>
      <c r="O35" s="219"/>
      <c r="P35" s="219"/>
      <c r="Q35" s="219"/>
      <c r="R35" s="219"/>
      <c r="S35" s="219"/>
      <c r="T35" s="219"/>
      <c r="U35" s="219"/>
      <c r="V35" s="219"/>
      <c r="W35" s="219"/>
      <c r="X35" s="219"/>
      <c r="Y35" s="219"/>
      <c r="Z35" s="219"/>
      <c r="AA35" s="219"/>
    </row>
    <row r="36" spans="3:27" s="217" customFormat="1" x14ac:dyDescent="0.25">
      <c r="C36" s="406"/>
      <c r="E36" s="218"/>
      <c r="F36" s="219"/>
      <c r="G36" s="222" t="s">
        <v>325</v>
      </c>
      <c r="H36" s="223">
        <f>1-H35</f>
        <v>0.75</v>
      </c>
      <c r="I36" s="229"/>
      <c r="J36" s="227" t="str">
        <f>IF(1-J35=100%,"",1-J35)</f>
        <v/>
      </c>
      <c r="K36" s="219"/>
      <c r="L36" s="219"/>
      <c r="M36" s="219"/>
      <c r="N36" s="219"/>
      <c r="O36" s="219"/>
      <c r="P36" s="219"/>
      <c r="Q36" s="219"/>
      <c r="R36" s="219"/>
      <c r="S36" s="219"/>
      <c r="T36" s="219"/>
      <c r="U36" s="219"/>
      <c r="V36" s="219"/>
      <c r="W36" s="219"/>
      <c r="X36" s="219"/>
      <c r="Y36" s="219"/>
      <c r="Z36" s="219"/>
      <c r="AA36" s="219"/>
    </row>
    <row r="37" spans="3:27" s="217" customFormat="1" x14ac:dyDescent="0.25">
      <c r="C37" s="406"/>
      <c r="E37" s="218"/>
      <c r="F37" s="219"/>
      <c r="G37" s="222"/>
      <c r="H37" s="231" t="s">
        <v>330</v>
      </c>
      <c r="I37" s="229"/>
      <c r="J37" s="231" t="s">
        <v>330</v>
      </c>
      <c r="K37" s="219"/>
      <c r="L37" s="219"/>
      <c r="M37" s="219"/>
      <c r="N37" s="219"/>
      <c r="O37" s="219"/>
      <c r="P37" s="219"/>
      <c r="Q37" s="219"/>
      <c r="R37" s="219"/>
      <c r="S37" s="219"/>
      <c r="T37" s="219"/>
      <c r="U37" s="219"/>
      <c r="V37" s="219"/>
      <c r="W37" s="219"/>
      <c r="X37" s="219"/>
      <c r="Y37" s="219"/>
      <c r="Z37" s="219"/>
      <c r="AA37" s="219"/>
    </row>
    <row r="38" spans="3:27" s="217" customFormat="1" x14ac:dyDescent="0.25">
      <c r="C38" s="406"/>
      <c r="E38" s="218"/>
      <c r="F38" s="219"/>
      <c r="G38" s="25" t="s">
        <v>321</v>
      </c>
      <c r="H38" s="223">
        <v>0.5</v>
      </c>
      <c r="I38" s="231"/>
      <c r="J38" s="227"/>
      <c r="K38" s="219"/>
      <c r="L38" s="219"/>
      <c r="M38" s="219"/>
      <c r="N38" s="219"/>
      <c r="O38" s="219"/>
      <c r="P38" s="219"/>
      <c r="Q38" s="219"/>
      <c r="R38" s="219"/>
      <c r="S38" s="219"/>
      <c r="T38" s="219"/>
      <c r="U38" s="219"/>
      <c r="V38" s="219"/>
      <c r="W38" s="219"/>
      <c r="X38" s="219"/>
      <c r="Y38" s="219"/>
      <c r="Z38" s="219"/>
      <c r="AA38" s="219"/>
    </row>
    <row r="39" spans="3:27" s="217" customFormat="1" x14ac:dyDescent="0.25">
      <c r="C39" s="406"/>
      <c r="E39" s="218"/>
      <c r="F39" s="219"/>
      <c r="G39" s="25" t="s">
        <v>323</v>
      </c>
      <c r="H39" s="223">
        <v>0.25</v>
      </c>
      <c r="I39" s="231"/>
      <c r="J39" s="227"/>
      <c r="K39" s="219"/>
      <c r="L39" s="219"/>
      <c r="M39" s="219"/>
      <c r="N39" s="219"/>
      <c r="O39" s="219"/>
      <c r="P39" s="219"/>
      <c r="Q39" s="219"/>
      <c r="R39" s="219"/>
      <c r="S39" s="219"/>
      <c r="T39" s="219"/>
      <c r="U39" s="219"/>
      <c r="V39" s="219"/>
      <c r="W39" s="219"/>
      <c r="X39" s="219"/>
      <c r="Y39" s="219"/>
      <c r="Z39" s="219"/>
      <c r="AA39" s="219"/>
    </row>
    <row r="40" spans="3:27" s="217" customFormat="1" ht="14.4" x14ac:dyDescent="0.3">
      <c r="C40" s="406"/>
      <c r="E40" s="218"/>
      <c r="F40" s="219"/>
      <c r="G40" s="25" t="s">
        <v>322</v>
      </c>
      <c r="H40" s="223">
        <v>0.25</v>
      </c>
      <c r="I40" s="231"/>
      <c r="J40" s="227"/>
      <c r="K40" s="307" t="str">
        <f>IF(SUM(J38:J40)=0,"",IF(SUM(J38:J40)&lt;&gt;100%,"Values do not sum up to 100%",""))</f>
        <v/>
      </c>
      <c r="L40" s="219"/>
      <c r="M40" s="219"/>
      <c r="N40" s="219"/>
      <c r="O40" s="219"/>
      <c r="P40" s="219"/>
      <c r="Q40" s="219"/>
      <c r="R40" s="219"/>
      <c r="S40" s="219"/>
      <c r="T40" s="219"/>
      <c r="U40" s="219"/>
      <c r="V40" s="219"/>
      <c r="W40" s="219"/>
      <c r="X40" s="219"/>
      <c r="Y40" s="219"/>
      <c r="Z40" s="219"/>
      <c r="AA40" s="219"/>
    </row>
    <row r="41" spans="3:27" x14ac:dyDescent="0.25">
      <c r="C41" s="406"/>
    </row>
    <row r="42" spans="3:27" s="14" customFormat="1" x14ac:dyDescent="0.25">
      <c r="C42" s="406"/>
      <c r="E42" s="63"/>
      <c r="F42" s="243" t="s">
        <v>311</v>
      </c>
      <c r="G42" s="244"/>
      <c r="H42" s="245"/>
      <c r="I42" s="245"/>
      <c r="J42" s="245"/>
      <c r="K42" s="245"/>
      <c r="L42" s="245"/>
      <c r="M42" s="245"/>
      <c r="N42" s="245"/>
      <c r="O42" s="245"/>
      <c r="P42" s="245"/>
      <c r="Q42" s="245"/>
      <c r="R42" s="245"/>
      <c r="S42" s="245"/>
      <c r="T42" s="245"/>
      <c r="U42" s="245"/>
      <c r="V42" s="245"/>
      <c r="W42" s="245"/>
      <c r="X42" s="245"/>
      <c r="Y42" s="245"/>
      <c r="Z42" s="245"/>
      <c r="AA42" s="245"/>
    </row>
    <row r="43" spans="3:27" x14ac:dyDescent="0.25">
      <c r="C43" s="406"/>
    </row>
    <row r="44" spans="3:27" ht="14.4" x14ac:dyDescent="0.25">
      <c r="C44" s="406"/>
      <c r="G44" s="2" t="s">
        <v>365</v>
      </c>
      <c r="H44" s="266">
        <f>'VKS PAMATA DATI'!G27</f>
        <v>0</v>
      </c>
      <c r="I44" s="29"/>
      <c r="J44" s="38" t="s">
        <v>202</v>
      </c>
      <c r="K44" s="31"/>
      <c r="L44" s="31"/>
      <c r="M44" s="31"/>
      <c r="N44" s="31"/>
    </row>
    <row r="45" spans="3:27" ht="14.4" x14ac:dyDescent="0.25">
      <c r="C45" s="406"/>
      <c r="G45" s="2" t="s">
        <v>366</v>
      </c>
      <c r="H45" s="266">
        <f>'VKS PAMATA DATI'!G28</f>
        <v>0</v>
      </c>
      <c r="I45" s="29"/>
      <c r="J45" s="1" t="s">
        <v>203</v>
      </c>
      <c r="K45" s="14"/>
      <c r="L45" s="14"/>
      <c r="M45" s="14"/>
      <c r="N45" s="14"/>
    </row>
    <row r="46" spans="3:27" ht="14.4" x14ac:dyDescent="0.25">
      <c r="C46" s="406"/>
      <c r="G46" s="2" t="s">
        <v>367</v>
      </c>
      <c r="H46" s="266">
        <f>'VKS PAMATA DATI'!G29</f>
        <v>0</v>
      </c>
      <c r="I46" s="29"/>
      <c r="J46" s="14" t="s">
        <v>204</v>
      </c>
      <c r="K46" s="14"/>
      <c r="L46" s="14"/>
      <c r="M46" s="14"/>
      <c r="N46" s="14"/>
    </row>
    <row r="47" spans="3:27" x14ac:dyDescent="0.25">
      <c r="C47" s="406"/>
    </row>
    <row r="48" spans="3:27" s="14" customFormat="1" x14ac:dyDescent="0.25">
      <c r="C48" s="406"/>
      <c r="E48" s="63"/>
      <c r="F48" s="243" t="s">
        <v>312</v>
      </c>
      <c r="G48" s="244"/>
      <c r="H48" s="245"/>
      <c r="I48" s="245"/>
      <c r="J48" s="245"/>
      <c r="K48" s="245"/>
      <c r="L48" s="245"/>
      <c r="M48" s="245"/>
      <c r="N48" s="245"/>
      <c r="O48" s="245"/>
      <c r="P48" s="245"/>
      <c r="Q48" s="245"/>
      <c r="R48" s="245"/>
      <c r="S48" s="245"/>
      <c r="T48" s="245"/>
      <c r="U48" s="245"/>
      <c r="V48" s="245"/>
      <c r="W48" s="245"/>
      <c r="X48" s="245"/>
      <c r="Y48" s="245"/>
      <c r="Z48" s="245"/>
      <c r="AA48" s="245"/>
    </row>
    <row r="49" spans="3:14" x14ac:dyDescent="0.25">
      <c r="C49" s="406"/>
    </row>
    <row r="50" spans="3:14" ht="27.6" x14ac:dyDescent="0.25">
      <c r="C50" s="406"/>
      <c r="G50" s="14"/>
      <c r="H50" s="404" t="s">
        <v>215</v>
      </c>
      <c r="I50" s="404"/>
      <c r="J50" s="404"/>
      <c r="K50" s="8" t="s">
        <v>313</v>
      </c>
      <c r="L50" s="8" t="s">
        <v>314</v>
      </c>
      <c r="M50" s="8" t="s">
        <v>315</v>
      </c>
    </row>
    <row r="51" spans="3:14" x14ac:dyDescent="0.25">
      <c r="C51" s="406"/>
      <c r="G51" s="2" t="s">
        <v>205</v>
      </c>
      <c r="H51" s="403" t="str">
        <f>IF('VKS PAMATA DATI'!J41=0,"",'VKS PAMATA DATI'!J41)</f>
        <v/>
      </c>
      <c r="I51" s="403"/>
      <c r="J51" s="403"/>
      <c r="K51" s="305" t="str">
        <f>IF('VKS PAMATA DATI'!K41=0,"",'VKS PAMATA DATI'!K41)</f>
        <v/>
      </c>
      <c r="L51" s="305" t="str">
        <f>IF('VKS PAMATA DATI'!L41=0,"",'VKS PAMATA DATI'!L41)</f>
        <v/>
      </c>
      <c r="M51" s="305" t="str">
        <f>IF('VKS PAMATA DATI'!M41=0,"",'VKS PAMATA DATI'!M41)</f>
        <v/>
      </c>
    </row>
    <row r="52" spans="3:14" x14ac:dyDescent="0.25">
      <c r="C52" s="406"/>
      <c r="G52" s="2" t="s">
        <v>206</v>
      </c>
      <c r="H52" s="403" t="str">
        <f>IF('VKS PAMATA DATI'!J42=0,"",'VKS PAMATA DATI'!J42)</f>
        <v/>
      </c>
      <c r="I52" s="403"/>
      <c r="J52" s="403"/>
      <c r="K52" s="305" t="str">
        <f>IF('VKS PAMATA DATI'!K42=0,"",'VKS PAMATA DATI'!K42)</f>
        <v/>
      </c>
      <c r="L52" s="305" t="str">
        <f>IF('VKS PAMATA DATI'!L42=0,"",'VKS PAMATA DATI'!L42)</f>
        <v/>
      </c>
      <c r="M52" s="305" t="str">
        <f>IF('VKS PAMATA DATI'!M42=0,"",'VKS PAMATA DATI'!M42)</f>
        <v/>
      </c>
    </row>
    <row r="53" spans="3:14" s="14" customFormat="1" x14ac:dyDescent="0.25">
      <c r="C53" s="406"/>
      <c r="E53" s="63"/>
      <c r="F53" s="1"/>
      <c r="G53" s="2" t="s">
        <v>207</v>
      </c>
      <c r="H53" s="403" t="str">
        <f>IF('VKS PAMATA DATI'!J43=0,"",'VKS PAMATA DATI'!J43)</f>
        <v/>
      </c>
      <c r="I53" s="403"/>
      <c r="J53" s="403"/>
      <c r="K53" s="305" t="str">
        <f>IF('VKS PAMATA DATI'!K43=0,"",'VKS PAMATA DATI'!K43)</f>
        <v/>
      </c>
      <c r="L53" s="305" t="str">
        <f>IF('VKS PAMATA DATI'!L43=0,"",'VKS PAMATA DATI'!L43)</f>
        <v/>
      </c>
      <c r="M53" s="305" t="str">
        <f>IF('VKS PAMATA DATI'!M43=0,"",'VKS PAMATA DATI'!M43)</f>
        <v/>
      </c>
    </row>
    <row r="54" spans="3:14" ht="14.4" x14ac:dyDescent="0.25">
      <c r="C54" s="406"/>
      <c r="F54" s="104"/>
      <c r="G54" s="2" t="s">
        <v>208</v>
      </c>
      <c r="H54" s="403" t="str">
        <f>IF('VKS PAMATA DATI'!J44=0,"",'VKS PAMATA DATI'!J44)</f>
        <v/>
      </c>
      <c r="I54" s="403"/>
      <c r="J54" s="403"/>
      <c r="K54" s="305" t="str">
        <f>IF('VKS PAMATA DATI'!K44=0,"",'VKS PAMATA DATI'!K44)</f>
        <v/>
      </c>
      <c r="L54" s="305" t="str">
        <f>IF('VKS PAMATA DATI'!L44=0,"",'VKS PAMATA DATI'!L44)</f>
        <v/>
      </c>
      <c r="M54" s="305" t="str">
        <f>IF('VKS PAMATA DATI'!M44=0,"",'VKS PAMATA DATI'!M44)</f>
        <v/>
      </c>
      <c r="N54" s="29"/>
    </row>
    <row r="55" spans="3:14" ht="14.4" x14ac:dyDescent="0.25">
      <c r="C55" s="406"/>
      <c r="F55" s="104"/>
      <c r="G55" s="2" t="s">
        <v>209</v>
      </c>
      <c r="H55" s="403" t="str">
        <f>IF('VKS PAMATA DATI'!J45=0,"",'VKS PAMATA DATI'!J45)</f>
        <v/>
      </c>
      <c r="I55" s="403"/>
      <c r="J55" s="403"/>
      <c r="K55" s="305" t="str">
        <f>IF('VKS PAMATA DATI'!K45=0,"",'VKS PAMATA DATI'!K45)</f>
        <v/>
      </c>
      <c r="L55" s="305" t="str">
        <f>IF('VKS PAMATA DATI'!L45=0,"",'VKS PAMATA DATI'!L45)</f>
        <v/>
      </c>
      <c r="M55" s="305" t="str">
        <f>IF('VKS PAMATA DATI'!M45=0,"",'VKS PAMATA DATI'!M45)</f>
        <v/>
      </c>
      <c r="N55" s="29"/>
    </row>
    <row r="56" spans="3:14" ht="14.4" x14ac:dyDescent="0.25">
      <c r="C56" s="406"/>
      <c r="F56" s="104"/>
      <c r="G56" s="2" t="s">
        <v>210</v>
      </c>
      <c r="H56" s="403" t="str">
        <f>IF('VKS PAMATA DATI'!J46=0,"",'VKS PAMATA DATI'!J46)</f>
        <v/>
      </c>
      <c r="I56" s="403"/>
      <c r="J56" s="403"/>
      <c r="K56" s="305" t="str">
        <f>IF('VKS PAMATA DATI'!K46=0,"",'VKS PAMATA DATI'!K46)</f>
        <v/>
      </c>
      <c r="L56" s="305" t="str">
        <f>IF('VKS PAMATA DATI'!L46=0,"",'VKS PAMATA DATI'!L46)</f>
        <v/>
      </c>
      <c r="M56" s="305" t="str">
        <f>IF('VKS PAMATA DATI'!M46=0,"",'VKS PAMATA DATI'!M46)</f>
        <v/>
      </c>
      <c r="N56" s="29"/>
    </row>
    <row r="57" spans="3:14" ht="14.4" x14ac:dyDescent="0.25">
      <c r="C57" s="406"/>
      <c r="G57" s="2" t="s">
        <v>211</v>
      </c>
      <c r="H57" s="403" t="str">
        <f>IF('VKS PAMATA DATI'!J47=0,"",'VKS PAMATA DATI'!J47)</f>
        <v/>
      </c>
      <c r="I57" s="403"/>
      <c r="J57" s="403"/>
      <c r="K57" s="305" t="str">
        <f>IF('VKS PAMATA DATI'!K47=0,"",'VKS PAMATA DATI'!K47)</f>
        <v/>
      </c>
      <c r="L57" s="305" t="str">
        <f>IF('VKS PAMATA DATI'!L47=0,"",'VKS PAMATA DATI'!L47)</f>
        <v/>
      </c>
      <c r="M57" s="305" t="str">
        <f>IF('VKS PAMATA DATI'!M47=0,"",'VKS PAMATA DATI'!M47)</f>
        <v/>
      </c>
      <c r="N57" s="29"/>
    </row>
    <row r="58" spans="3:14" ht="14.4" x14ac:dyDescent="0.25">
      <c r="C58" s="406"/>
      <c r="G58" s="2" t="s">
        <v>212</v>
      </c>
      <c r="H58" s="403" t="str">
        <f>IF('VKS PAMATA DATI'!J48=0,"",'VKS PAMATA DATI'!J48)</f>
        <v/>
      </c>
      <c r="I58" s="403"/>
      <c r="J58" s="403"/>
      <c r="K58" s="305" t="str">
        <f>IF('VKS PAMATA DATI'!K48=0,"",'VKS PAMATA DATI'!K48)</f>
        <v/>
      </c>
      <c r="L58" s="305" t="str">
        <f>IF('VKS PAMATA DATI'!L48=0,"",'VKS PAMATA DATI'!L48)</f>
        <v/>
      </c>
      <c r="M58" s="305" t="str">
        <f>IF('VKS PAMATA DATI'!M48=0,"",'VKS PAMATA DATI'!M48)</f>
        <v/>
      </c>
      <c r="N58" s="29"/>
    </row>
    <row r="59" spans="3:14" ht="14.4" x14ac:dyDescent="0.25">
      <c r="C59" s="406"/>
      <c r="G59" s="2" t="s">
        <v>213</v>
      </c>
      <c r="H59" s="403" t="str">
        <f>IF('VKS PAMATA DATI'!J49=0,"",'VKS PAMATA DATI'!J49)</f>
        <v/>
      </c>
      <c r="I59" s="403"/>
      <c r="J59" s="403"/>
      <c r="K59" s="305" t="str">
        <f>IF('VKS PAMATA DATI'!K49=0,"",'VKS PAMATA DATI'!K49)</f>
        <v/>
      </c>
      <c r="L59" s="305" t="str">
        <f>IF('VKS PAMATA DATI'!L49=0,"",'VKS PAMATA DATI'!L49)</f>
        <v/>
      </c>
      <c r="M59" s="305" t="str">
        <f>IF('VKS PAMATA DATI'!M49=0,"",'VKS PAMATA DATI'!M49)</f>
        <v/>
      </c>
      <c r="N59" s="37"/>
    </row>
    <row r="60" spans="3:14" ht="14.4" x14ac:dyDescent="0.25">
      <c r="C60" s="406"/>
      <c r="G60" s="2" t="s">
        <v>214</v>
      </c>
      <c r="H60" s="403" t="str">
        <f>IF('VKS PAMATA DATI'!J50=0,"",'VKS PAMATA DATI'!J50)</f>
        <v/>
      </c>
      <c r="I60" s="403"/>
      <c r="J60" s="403"/>
      <c r="K60" s="305" t="str">
        <f>IF('VKS PAMATA DATI'!K50=0,"",'VKS PAMATA DATI'!K50)</f>
        <v/>
      </c>
      <c r="L60" s="305" t="str">
        <f>IF('VKS PAMATA DATI'!L50=0,"",'VKS PAMATA DATI'!L50)</f>
        <v/>
      </c>
      <c r="M60" s="305" t="str">
        <f>IF('VKS PAMATA DATI'!M50=0,"",'VKS PAMATA DATI'!M50)</f>
        <v/>
      </c>
      <c r="N60" s="37"/>
    </row>
    <row r="61" spans="3:14" ht="14.4" x14ac:dyDescent="0.25">
      <c r="C61" s="406"/>
      <c r="G61" s="2" t="s">
        <v>291</v>
      </c>
      <c r="H61" s="403" t="str">
        <f>IF('VKS PAMATA DATI'!J51=0,"",'VKS PAMATA DATI'!J51)</f>
        <v/>
      </c>
      <c r="I61" s="403"/>
      <c r="J61" s="403"/>
      <c r="K61" s="305" t="str">
        <f>IF('VKS PAMATA DATI'!K51=0,"",'VKS PAMATA DATI'!K51)</f>
        <v/>
      </c>
      <c r="L61" s="305" t="str">
        <f>IF('VKS PAMATA DATI'!L51=0,"",'VKS PAMATA DATI'!L51)</f>
        <v/>
      </c>
      <c r="M61" s="305" t="str">
        <f>IF('VKS PAMATA DATI'!M51=0,"",'VKS PAMATA DATI'!M51)</f>
        <v/>
      </c>
      <c r="N61" s="37"/>
    </row>
    <row r="62" spans="3:14" ht="14.4" x14ac:dyDescent="0.25">
      <c r="C62" s="406"/>
      <c r="G62" s="2" t="s">
        <v>292</v>
      </c>
      <c r="H62" s="403" t="str">
        <f>IF('VKS PAMATA DATI'!J52=0,"",'VKS PAMATA DATI'!J52)</f>
        <v/>
      </c>
      <c r="I62" s="403"/>
      <c r="J62" s="403"/>
      <c r="K62" s="305" t="str">
        <f>IF('VKS PAMATA DATI'!K52=0,"",'VKS PAMATA DATI'!K52)</f>
        <v/>
      </c>
      <c r="L62" s="305" t="str">
        <f>IF('VKS PAMATA DATI'!L52=0,"",'VKS PAMATA DATI'!L52)</f>
        <v/>
      </c>
      <c r="M62" s="305" t="str">
        <f>IF('VKS PAMATA DATI'!M52=0,"",'VKS PAMATA DATI'!M52)</f>
        <v/>
      </c>
      <c r="N62" s="37"/>
    </row>
    <row r="63" spans="3:14" ht="14.4" x14ac:dyDescent="0.25">
      <c r="C63" s="406"/>
      <c r="G63" s="2" t="s">
        <v>293</v>
      </c>
      <c r="H63" s="403" t="str">
        <f>IF('VKS PAMATA DATI'!J53=0,"",'VKS PAMATA DATI'!J53)</f>
        <v/>
      </c>
      <c r="I63" s="403"/>
      <c r="J63" s="403"/>
      <c r="K63" s="305" t="str">
        <f>IF('VKS PAMATA DATI'!K53=0,"",'VKS PAMATA DATI'!K53)</f>
        <v/>
      </c>
      <c r="L63" s="305" t="str">
        <f>IF('VKS PAMATA DATI'!L53=0,"",'VKS PAMATA DATI'!L53)</f>
        <v/>
      </c>
      <c r="M63" s="305" t="str">
        <f>IF('VKS PAMATA DATI'!M53=0,"",'VKS PAMATA DATI'!M53)</f>
        <v/>
      </c>
      <c r="N63" s="37"/>
    </row>
    <row r="64" spans="3:14" ht="14.4" x14ac:dyDescent="0.25">
      <c r="C64" s="406"/>
      <c r="G64" s="2" t="s">
        <v>294</v>
      </c>
      <c r="H64" s="403" t="str">
        <f>IF('VKS PAMATA DATI'!J54=0,"",'VKS PAMATA DATI'!J54)</f>
        <v/>
      </c>
      <c r="I64" s="403"/>
      <c r="J64" s="403"/>
      <c r="K64" s="305" t="str">
        <f>IF('VKS PAMATA DATI'!K54=0,"",'VKS PAMATA DATI'!K54)</f>
        <v/>
      </c>
      <c r="L64" s="305" t="str">
        <f>IF('VKS PAMATA DATI'!L54=0,"",'VKS PAMATA DATI'!L54)</f>
        <v/>
      </c>
      <c r="M64" s="305" t="str">
        <f>IF('VKS PAMATA DATI'!M54=0,"",'VKS PAMATA DATI'!M54)</f>
        <v/>
      </c>
      <c r="N64" s="37"/>
    </row>
    <row r="65" spans="3:27" ht="14.4" x14ac:dyDescent="0.25">
      <c r="C65" s="406"/>
      <c r="G65" s="2" t="s">
        <v>295</v>
      </c>
      <c r="H65" s="403" t="str">
        <f>IF('VKS PAMATA DATI'!J55=0,"",'VKS PAMATA DATI'!J55)</f>
        <v/>
      </c>
      <c r="I65" s="403"/>
      <c r="J65" s="403"/>
      <c r="K65" s="305" t="str">
        <f>IF('VKS PAMATA DATI'!K55=0,"",'VKS PAMATA DATI'!K55)</f>
        <v/>
      </c>
      <c r="L65" s="305" t="str">
        <f>IF('VKS PAMATA DATI'!L55=0,"",'VKS PAMATA DATI'!L55)</f>
        <v/>
      </c>
      <c r="M65" s="305" t="str">
        <f>IF('VKS PAMATA DATI'!M55=0,"",'VKS PAMATA DATI'!M55)</f>
        <v/>
      </c>
      <c r="N65" s="37"/>
    </row>
    <row r="66" spans="3:27" ht="14.4" x14ac:dyDescent="0.25">
      <c r="C66" s="406"/>
      <c r="G66" s="108"/>
      <c r="H66" s="122"/>
      <c r="J66" s="122" t="s">
        <v>316</v>
      </c>
      <c r="K66" s="306" t="str">
        <f>IFERROR(MEDIAN(K51:K65),"0")</f>
        <v>0</v>
      </c>
      <c r="L66" s="306" t="str">
        <f>IFERROR(MEDIAN(L51:L65),"0")</f>
        <v>0</v>
      </c>
      <c r="M66" s="306" t="str">
        <f>IFERROR(MEDIAN(M51:M65),"0")</f>
        <v>0</v>
      </c>
      <c r="N66" s="37"/>
    </row>
    <row r="67" spans="3:27" ht="14.4" x14ac:dyDescent="0.25">
      <c r="C67" s="406"/>
      <c r="N67" s="37"/>
    </row>
    <row r="68" spans="3:27" s="14" customFormat="1" x14ac:dyDescent="0.25">
      <c r="C68" s="406"/>
      <c r="E68" s="63"/>
      <c r="F68" s="243" t="s">
        <v>333</v>
      </c>
      <c r="G68" s="244"/>
      <c r="H68" s="245"/>
      <c r="I68" s="245"/>
      <c r="J68" s="245"/>
      <c r="K68" s="245"/>
      <c r="L68" s="245"/>
      <c r="M68" s="245"/>
      <c r="N68" s="245"/>
      <c r="O68" s="245"/>
      <c r="P68" s="245"/>
      <c r="Q68" s="245"/>
      <c r="R68" s="245"/>
      <c r="S68" s="245"/>
      <c r="T68" s="245"/>
      <c r="U68" s="245"/>
      <c r="V68" s="245"/>
      <c r="W68" s="245"/>
      <c r="X68" s="245"/>
      <c r="Y68" s="245"/>
      <c r="Z68" s="245"/>
      <c r="AA68" s="245"/>
    </row>
    <row r="69" spans="3:27" s="105" customFormat="1" x14ac:dyDescent="0.25">
      <c r="C69" s="406"/>
      <c r="E69" s="106"/>
      <c r="H69" s="107"/>
      <c r="I69" s="108"/>
      <c r="J69" s="122"/>
      <c r="K69" s="122"/>
      <c r="L69" s="122"/>
      <c r="M69" s="122"/>
    </row>
    <row r="70" spans="3:27" x14ac:dyDescent="0.25">
      <c r="C70" s="406"/>
      <c r="F70" s="232"/>
      <c r="G70" s="233" t="s">
        <v>331</v>
      </c>
      <c r="H70" s="266">
        <f>IFERROR(IF(H22="Suggested",H38*H44+H39*H45+H40*H46,J38*H44+J39*H45+J40*H46),"")</f>
        <v>0</v>
      </c>
    </row>
    <row r="71" spans="3:27" x14ac:dyDescent="0.25">
      <c r="C71" s="406"/>
      <c r="F71" s="232"/>
      <c r="G71" s="233" t="s">
        <v>332</v>
      </c>
      <c r="H71" s="266" t="str">
        <f>IFERROR(AVERAGE(K66:M66),"")</f>
        <v/>
      </c>
    </row>
    <row r="72" spans="3:27" x14ac:dyDescent="0.25">
      <c r="C72" s="406"/>
      <c r="G72" s="2" t="s">
        <v>270</v>
      </c>
      <c r="H72" s="266" t="str">
        <f>IFERROR(IF(H22="Suggested",IF(AND(H23&gt;0,H23&lt;6),(H70*H27+H71*H28),IF(H23&lt;11,(H70*H31+H71*H32),(H70*H35+H71*H36))),IF(AND(H23&gt;0,H23&lt;6),(H70*J27+H71*J28),IF(H23&lt;11,(H70*J31+H71*J32),(H70*J35+H71*J36)))),"")</f>
        <v/>
      </c>
    </row>
    <row r="73" spans="3:27" s="14" customFormat="1" x14ac:dyDescent="0.25">
      <c r="E73" s="63"/>
      <c r="F73" s="1"/>
      <c r="H73" s="27"/>
      <c r="I73" s="1"/>
      <c r="J73" s="1"/>
    </row>
    <row r="74" spans="3:27" ht="22.8" x14ac:dyDescent="0.25">
      <c r="C74" s="20"/>
      <c r="F74" s="303" t="s">
        <v>194</v>
      </c>
      <c r="G74" s="304"/>
      <c r="H74" s="20"/>
      <c r="I74" s="20"/>
      <c r="J74" s="20"/>
      <c r="K74" s="20"/>
      <c r="L74" s="20"/>
      <c r="M74" s="20"/>
      <c r="N74" s="20"/>
      <c r="O74" s="20"/>
      <c r="P74" s="20"/>
      <c r="Q74" s="20"/>
      <c r="R74" s="20"/>
      <c r="S74" s="20"/>
      <c r="T74" s="20"/>
      <c r="U74" s="20"/>
      <c r="V74" s="20"/>
      <c r="W74" s="20"/>
      <c r="X74" s="20"/>
      <c r="Y74" s="20"/>
      <c r="Z74" s="20"/>
      <c r="AA74" s="20"/>
    </row>
    <row r="75" spans="3:27" s="14" customFormat="1" x14ac:dyDescent="0.25">
      <c r="E75" s="63"/>
      <c r="F75" s="1"/>
      <c r="G75" s="40"/>
      <c r="H75" s="1"/>
      <c r="I75" s="1"/>
      <c r="J75" s="1"/>
      <c r="K75" s="1"/>
      <c r="L75" s="1"/>
      <c r="M75" s="1"/>
      <c r="N75" s="1"/>
      <c r="O75" s="1"/>
      <c r="P75" s="1"/>
      <c r="Q75" s="1"/>
      <c r="R75" s="1"/>
      <c r="S75" s="1"/>
      <c r="T75" s="1"/>
      <c r="U75" s="1"/>
      <c r="V75" s="1"/>
      <c r="W75" s="1"/>
      <c r="X75" s="1"/>
      <c r="Y75" s="1"/>
      <c r="Z75" s="1"/>
      <c r="AA75" s="1"/>
    </row>
    <row r="76" spans="3:27" s="14" customFormat="1" ht="15" customHeight="1" x14ac:dyDescent="0.25">
      <c r="C76" s="406" t="s">
        <v>194</v>
      </c>
      <c r="E76" s="63"/>
      <c r="F76" s="234" t="s">
        <v>334</v>
      </c>
      <c r="G76" s="40"/>
      <c r="H76" s="1"/>
      <c r="I76" s="1"/>
      <c r="J76" s="1"/>
      <c r="K76" s="1"/>
      <c r="L76" s="1"/>
      <c r="M76" s="1"/>
      <c r="N76" s="1"/>
      <c r="O76" s="1"/>
      <c r="P76" s="1"/>
      <c r="Q76" s="1"/>
      <c r="R76" s="1"/>
      <c r="S76" s="1"/>
      <c r="T76" s="1"/>
      <c r="U76" s="1"/>
      <c r="V76" s="1"/>
      <c r="W76" s="1"/>
      <c r="X76" s="1"/>
      <c r="Y76" s="1"/>
      <c r="Z76" s="1"/>
      <c r="AA76" s="1"/>
    </row>
    <row r="77" spans="3:27" s="14" customFormat="1" x14ac:dyDescent="0.25">
      <c r="C77" s="406"/>
      <c r="E77" s="63"/>
      <c r="F77" s="1"/>
      <c r="G77" s="40"/>
      <c r="H77" s="1"/>
      <c r="I77" s="1"/>
      <c r="J77" s="1"/>
      <c r="K77" s="1"/>
      <c r="L77" s="1"/>
      <c r="M77" s="1"/>
      <c r="N77" s="1"/>
      <c r="O77" s="1"/>
      <c r="P77" s="1"/>
      <c r="Q77" s="1"/>
      <c r="R77" s="1"/>
      <c r="S77" s="1"/>
      <c r="T77" s="1"/>
      <c r="U77" s="1"/>
      <c r="V77" s="1"/>
      <c r="W77" s="1"/>
      <c r="X77" s="1"/>
      <c r="Y77" s="1"/>
      <c r="Z77" s="1"/>
      <c r="AA77" s="1"/>
    </row>
    <row r="78" spans="3:27" s="14" customFormat="1" x14ac:dyDescent="0.25">
      <c r="C78" s="406"/>
      <c r="E78" s="63"/>
      <c r="F78" s="1"/>
      <c r="G78" s="40"/>
      <c r="H78" s="1"/>
      <c r="I78" s="1"/>
      <c r="J78" s="1"/>
      <c r="K78" s="1"/>
      <c r="L78" s="1"/>
      <c r="M78" s="1"/>
      <c r="N78" s="1"/>
      <c r="O78" s="1"/>
      <c r="P78" s="1"/>
      <c r="Q78" s="1"/>
      <c r="R78" s="1"/>
      <c r="S78" s="1"/>
      <c r="T78" s="1"/>
      <c r="U78" s="1"/>
      <c r="V78" s="1"/>
      <c r="W78" s="1"/>
      <c r="X78" s="1"/>
      <c r="Y78" s="1"/>
      <c r="Z78" s="1"/>
      <c r="AA78" s="1"/>
    </row>
    <row r="79" spans="3:27" s="14" customFormat="1" x14ac:dyDescent="0.25">
      <c r="C79" s="406"/>
      <c r="E79" s="63"/>
      <c r="F79" s="1"/>
      <c r="G79" s="40"/>
      <c r="H79" s="1"/>
      <c r="I79" s="1"/>
      <c r="J79" s="1"/>
      <c r="K79" s="1"/>
      <c r="L79" s="1"/>
      <c r="M79" s="1"/>
      <c r="N79" s="1"/>
      <c r="O79" s="1"/>
      <c r="P79" s="1"/>
      <c r="Q79" s="1"/>
      <c r="R79" s="1"/>
      <c r="S79" s="1"/>
      <c r="T79" s="1"/>
      <c r="U79" s="1"/>
      <c r="V79" s="1"/>
      <c r="W79" s="1"/>
      <c r="X79" s="1"/>
      <c r="Y79" s="1"/>
      <c r="Z79" s="1"/>
      <c r="AA79" s="1"/>
    </row>
    <row r="80" spans="3:27" s="14" customFormat="1" x14ac:dyDescent="0.25">
      <c r="C80" s="406"/>
      <c r="E80" s="63"/>
      <c r="F80" s="1"/>
      <c r="G80" s="40"/>
      <c r="H80" s="1"/>
      <c r="I80" s="1"/>
      <c r="J80" s="1"/>
      <c r="K80" s="1"/>
      <c r="L80" s="1"/>
      <c r="M80" s="1"/>
      <c r="N80" s="1"/>
      <c r="O80" s="1"/>
      <c r="P80" s="1"/>
      <c r="Q80" s="1"/>
      <c r="R80" s="1"/>
      <c r="S80" s="1"/>
      <c r="T80" s="1"/>
      <c r="U80" s="1"/>
      <c r="V80" s="1"/>
      <c r="W80" s="1"/>
      <c r="X80" s="1"/>
      <c r="Y80" s="1"/>
      <c r="Z80" s="1"/>
      <c r="AA80" s="1"/>
    </row>
    <row r="81" spans="3:27" s="14" customFormat="1" x14ac:dyDescent="0.25">
      <c r="C81" s="406"/>
      <c r="E81" s="63"/>
      <c r="F81" s="1"/>
      <c r="G81" s="40"/>
      <c r="H81" s="1"/>
      <c r="I81" s="1"/>
      <c r="J81" s="1"/>
      <c r="K81" s="1"/>
      <c r="L81" s="1"/>
      <c r="M81" s="1"/>
      <c r="N81" s="1"/>
      <c r="O81" s="1"/>
      <c r="P81" s="1"/>
      <c r="Q81" s="1"/>
      <c r="R81" s="1"/>
      <c r="S81" s="1"/>
      <c r="T81" s="1"/>
      <c r="U81" s="1"/>
      <c r="V81" s="1"/>
      <c r="W81" s="1"/>
      <c r="X81" s="1"/>
      <c r="Y81" s="1"/>
      <c r="Z81" s="1"/>
      <c r="AA81" s="1"/>
    </row>
    <row r="82" spans="3:27" s="14" customFormat="1" x14ac:dyDescent="0.25">
      <c r="C82" s="406"/>
      <c r="E82" s="63"/>
      <c r="F82" s="1"/>
      <c r="G82" s="40"/>
      <c r="H82" s="1"/>
      <c r="I82" s="1"/>
      <c r="J82" s="1"/>
      <c r="K82" s="1"/>
      <c r="L82" s="1"/>
      <c r="M82" s="1"/>
      <c r="N82" s="1"/>
      <c r="O82" s="1"/>
      <c r="P82" s="1"/>
      <c r="Q82" s="1"/>
      <c r="R82" s="1"/>
      <c r="S82" s="1"/>
      <c r="T82" s="1"/>
      <c r="U82" s="1"/>
      <c r="V82" s="1"/>
      <c r="W82" s="1"/>
      <c r="X82" s="1"/>
      <c r="Y82" s="1"/>
      <c r="Z82" s="1"/>
      <c r="AA82" s="1"/>
    </row>
    <row r="83" spans="3:27" s="14" customFormat="1" x14ac:dyDescent="0.25">
      <c r="C83" s="406"/>
      <c r="E83" s="63"/>
      <c r="F83" s="1"/>
      <c r="G83" s="40"/>
      <c r="H83" s="1"/>
      <c r="I83" s="1"/>
      <c r="J83" s="1"/>
      <c r="K83" s="1"/>
      <c r="L83" s="1"/>
      <c r="M83" s="1"/>
      <c r="N83" s="1"/>
      <c r="O83" s="1"/>
      <c r="P83" s="1"/>
      <c r="Q83" s="1"/>
      <c r="R83" s="1"/>
      <c r="S83" s="1"/>
      <c r="T83" s="1"/>
      <c r="U83" s="1"/>
      <c r="V83" s="1"/>
      <c r="W83" s="1"/>
      <c r="X83" s="1"/>
      <c r="Y83" s="1"/>
      <c r="Z83" s="1"/>
      <c r="AA83" s="1"/>
    </row>
    <row r="84" spans="3:27" s="14" customFormat="1" x14ac:dyDescent="0.25">
      <c r="C84" s="406"/>
      <c r="E84" s="63"/>
      <c r="F84" s="1"/>
      <c r="G84" s="40"/>
      <c r="H84" s="1"/>
      <c r="I84" s="1"/>
      <c r="J84" s="1"/>
      <c r="K84" s="1"/>
      <c r="L84" s="1"/>
      <c r="M84" s="1"/>
      <c r="N84" s="1"/>
      <c r="O84" s="1"/>
      <c r="P84" s="1"/>
      <c r="Q84" s="1"/>
      <c r="R84" s="1"/>
      <c r="S84" s="1"/>
      <c r="T84" s="1"/>
      <c r="U84" s="1"/>
      <c r="V84" s="1"/>
      <c r="W84" s="1"/>
      <c r="X84" s="1"/>
      <c r="Y84" s="1"/>
      <c r="Z84" s="1"/>
      <c r="AA84" s="1"/>
    </row>
    <row r="85" spans="3:27" s="14" customFormat="1" x14ac:dyDescent="0.25">
      <c r="C85" s="406"/>
      <c r="E85" s="63"/>
      <c r="F85" s="1"/>
      <c r="G85" s="40"/>
      <c r="H85" s="1"/>
      <c r="I85" s="1"/>
      <c r="J85" s="1"/>
      <c r="K85" s="1"/>
      <c r="L85" s="1"/>
      <c r="M85" s="1"/>
      <c r="N85" s="1"/>
      <c r="O85" s="1"/>
      <c r="P85" s="1"/>
      <c r="Q85" s="1"/>
      <c r="R85" s="1"/>
      <c r="S85" s="1"/>
      <c r="T85" s="1"/>
      <c r="U85" s="1"/>
      <c r="V85" s="1"/>
      <c r="W85" s="1"/>
      <c r="X85" s="1"/>
      <c r="Y85" s="1"/>
      <c r="Z85" s="1"/>
      <c r="AA85" s="1"/>
    </row>
    <row r="86" spans="3:27" s="14" customFormat="1" x14ac:dyDescent="0.25">
      <c r="C86" s="406"/>
      <c r="E86" s="63"/>
      <c r="F86" s="1"/>
      <c r="G86" s="40"/>
      <c r="H86" s="1"/>
      <c r="I86" s="1"/>
      <c r="J86" s="1"/>
      <c r="K86" s="1"/>
      <c r="L86" s="1"/>
      <c r="M86" s="1"/>
      <c r="N86" s="1"/>
      <c r="O86" s="1"/>
      <c r="P86" s="1"/>
      <c r="Q86" s="1"/>
      <c r="R86" s="1"/>
      <c r="S86" s="1"/>
      <c r="T86" s="1"/>
      <c r="U86" s="1"/>
      <c r="V86" s="1"/>
      <c r="W86" s="1"/>
      <c r="X86" s="1"/>
      <c r="Y86" s="1"/>
      <c r="Z86" s="1"/>
      <c r="AA86" s="1"/>
    </row>
    <row r="87" spans="3:27" s="14" customFormat="1" x14ac:dyDescent="0.25">
      <c r="C87" s="406"/>
      <c r="E87" s="63"/>
      <c r="F87" s="1"/>
      <c r="G87" s="40"/>
      <c r="H87" s="1"/>
      <c r="I87" s="1"/>
      <c r="J87" s="1"/>
      <c r="K87" s="1"/>
      <c r="L87" s="1"/>
      <c r="M87" s="1"/>
      <c r="N87" s="1"/>
      <c r="O87" s="1"/>
      <c r="P87" s="1"/>
      <c r="Q87" s="1"/>
      <c r="R87" s="1"/>
      <c r="S87" s="1"/>
      <c r="T87" s="1"/>
      <c r="U87" s="1"/>
      <c r="V87" s="1"/>
      <c r="W87" s="1"/>
      <c r="X87" s="1"/>
      <c r="Y87" s="1"/>
      <c r="Z87" s="1"/>
      <c r="AA87" s="1"/>
    </row>
    <row r="88" spans="3:27" s="217" customFormat="1" ht="14.25" customHeight="1" x14ac:dyDescent="0.25">
      <c r="C88" s="406"/>
      <c r="E88" s="62"/>
      <c r="F88" s="31"/>
      <c r="G88" s="31"/>
      <c r="H88" s="36"/>
      <c r="I88" s="31"/>
      <c r="J88" s="31"/>
      <c r="K88" s="36"/>
      <c r="L88" s="31"/>
      <c r="M88" s="31"/>
      <c r="N88" s="31"/>
      <c r="O88" s="31"/>
      <c r="P88" s="31"/>
      <c r="Q88" s="31"/>
      <c r="R88" s="31"/>
      <c r="S88" s="31"/>
      <c r="T88" s="31"/>
      <c r="U88" s="31"/>
      <c r="V88" s="31"/>
      <c r="W88" s="31"/>
      <c r="X88" s="31"/>
      <c r="Y88" s="31"/>
      <c r="Z88" s="31"/>
      <c r="AA88" s="31"/>
    </row>
    <row r="89" spans="3:27" s="217" customFormat="1" ht="14.25" customHeight="1" x14ac:dyDescent="0.25">
      <c r="C89" s="406"/>
      <c r="E89" s="62"/>
      <c r="F89" s="1"/>
      <c r="G89" s="1"/>
      <c r="H89" s="3"/>
      <c r="I89" s="1"/>
      <c r="J89" s="1"/>
      <c r="K89" s="3"/>
      <c r="L89" s="1"/>
      <c r="M89" s="1"/>
      <c r="N89" s="1"/>
      <c r="O89" s="1"/>
      <c r="P89" s="1"/>
      <c r="Q89" s="1"/>
      <c r="R89" s="1"/>
      <c r="S89" s="1"/>
      <c r="T89" s="1"/>
      <c r="U89" s="1"/>
      <c r="V89" s="1"/>
      <c r="W89" s="1"/>
      <c r="X89" s="1"/>
      <c r="Y89" s="1"/>
      <c r="Z89" s="1"/>
      <c r="AA89" s="1"/>
    </row>
    <row r="90" spans="3:27" s="217" customFormat="1" ht="14.25" customHeight="1" x14ac:dyDescent="0.25">
      <c r="C90" s="406"/>
      <c r="E90" s="218"/>
      <c r="F90" s="234" t="s">
        <v>343</v>
      </c>
      <c r="G90" s="220"/>
      <c r="H90" s="219"/>
      <c r="I90" s="219"/>
      <c r="J90" s="219"/>
      <c r="K90" s="219"/>
      <c r="L90" s="219"/>
      <c r="M90" s="219"/>
      <c r="N90" s="219"/>
      <c r="O90" s="219"/>
      <c r="P90" s="219"/>
      <c r="Q90" s="219"/>
      <c r="R90" s="219"/>
      <c r="S90" s="219"/>
      <c r="T90" s="219"/>
      <c r="U90" s="219"/>
      <c r="V90" s="219"/>
      <c r="W90" s="219"/>
      <c r="X90" s="219"/>
      <c r="Y90" s="219"/>
      <c r="Z90" s="219"/>
      <c r="AA90" s="219"/>
    </row>
    <row r="91" spans="3:27" s="217" customFormat="1" x14ac:dyDescent="0.25">
      <c r="C91" s="406"/>
      <c r="E91" s="218"/>
      <c r="F91" s="219"/>
      <c r="G91" s="25" t="s">
        <v>342</v>
      </c>
      <c r="H91" s="400" t="s">
        <v>319</v>
      </c>
      <c r="I91" s="401"/>
      <c r="J91" s="401"/>
      <c r="K91" s="247" t="s">
        <v>345</v>
      </c>
      <c r="L91" s="219" t="s">
        <v>346</v>
      </c>
      <c r="M91" s="219"/>
      <c r="N91" s="219"/>
      <c r="O91" s="219"/>
      <c r="P91" s="219"/>
      <c r="Q91" s="219"/>
      <c r="R91" s="219"/>
      <c r="S91" s="219"/>
      <c r="T91" s="219"/>
      <c r="U91" s="219"/>
      <c r="V91" s="219"/>
      <c r="W91" s="219"/>
      <c r="X91" s="219"/>
      <c r="Y91" s="219"/>
      <c r="Z91" s="219"/>
      <c r="AA91" s="219"/>
    </row>
    <row r="92" spans="3:27" s="217" customFormat="1" x14ac:dyDescent="0.25">
      <c r="C92" s="406"/>
      <c r="E92" s="218"/>
      <c r="F92" s="219"/>
      <c r="G92" s="25" t="s">
        <v>344</v>
      </c>
      <c r="H92" s="402" t="str">
        <f>IF(COUNTA('VKS PAMATA DATI'!J41:J55)&lt;&gt;0,COUNTA('VKS PAMATA DATI'!J41:J55),"")</f>
        <v/>
      </c>
      <c r="I92" s="402"/>
      <c r="J92" s="402"/>
      <c r="K92" s="247"/>
      <c r="L92" s="248"/>
      <c r="M92" s="219"/>
      <c r="N92" s="219"/>
      <c r="O92" s="219"/>
      <c r="P92" s="219"/>
      <c r="Q92" s="219"/>
      <c r="R92" s="219"/>
      <c r="S92" s="219"/>
      <c r="T92" s="219"/>
      <c r="U92" s="219"/>
      <c r="V92" s="219"/>
      <c r="W92" s="219"/>
      <c r="X92" s="219"/>
      <c r="Y92" s="219"/>
      <c r="Z92" s="219"/>
      <c r="AA92" s="219"/>
    </row>
    <row r="93" spans="3:27" s="217" customFormat="1" ht="13.5" customHeight="1" x14ac:dyDescent="0.25">
      <c r="C93" s="406"/>
      <c r="E93" s="218"/>
      <c r="F93" s="219"/>
      <c r="G93" s="25"/>
      <c r="H93" s="219"/>
      <c r="I93" s="219"/>
      <c r="J93" s="219"/>
      <c r="K93" s="247"/>
      <c r="L93" s="219"/>
      <c r="M93" s="219"/>
      <c r="N93" s="219"/>
      <c r="O93" s="219"/>
      <c r="P93" s="219"/>
      <c r="Q93" s="219"/>
      <c r="R93" s="219"/>
      <c r="S93" s="219"/>
      <c r="T93" s="219"/>
      <c r="U93" s="219"/>
      <c r="V93" s="219"/>
      <c r="W93" s="219"/>
      <c r="X93" s="219"/>
      <c r="Y93" s="219"/>
      <c r="Z93" s="219"/>
      <c r="AA93" s="219"/>
    </row>
    <row r="94" spans="3:27" s="217" customFormat="1" x14ac:dyDescent="0.25">
      <c r="C94" s="406"/>
      <c r="E94" s="218"/>
      <c r="F94" s="219"/>
      <c r="H94" s="225" t="s">
        <v>319</v>
      </c>
      <c r="I94" s="226"/>
      <c r="J94" s="228" t="s">
        <v>320</v>
      </c>
      <c r="K94" s="247"/>
      <c r="L94" s="219"/>
      <c r="M94" s="219"/>
      <c r="N94" s="219"/>
      <c r="O94" s="219"/>
      <c r="P94" s="219"/>
      <c r="Q94" s="219"/>
      <c r="R94" s="219"/>
      <c r="S94" s="219"/>
      <c r="T94" s="219"/>
      <c r="U94" s="219"/>
      <c r="V94" s="219"/>
      <c r="W94" s="219"/>
      <c r="X94" s="219"/>
      <c r="Y94" s="219"/>
      <c r="Z94" s="219"/>
      <c r="AA94" s="219"/>
    </row>
    <row r="95" spans="3:27" s="217" customFormat="1" x14ac:dyDescent="0.25">
      <c r="C95" s="406"/>
      <c r="E95" s="218"/>
      <c r="F95" s="219"/>
      <c r="G95" s="222"/>
      <c r="H95" s="224" t="s">
        <v>326</v>
      </c>
      <c r="I95" s="229"/>
      <c r="J95" s="224" t="s">
        <v>326</v>
      </c>
      <c r="K95" s="219"/>
      <c r="L95" s="219"/>
      <c r="M95" s="219"/>
      <c r="N95" s="219"/>
      <c r="O95" s="219"/>
      <c r="P95" s="219"/>
      <c r="Q95" s="219"/>
      <c r="R95" s="219"/>
      <c r="S95" s="219"/>
      <c r="T95" s="219"/>
      <c r="U95" s="219"/>
      <c r="V95" s="219"/>
      <c r="W95" s="219"/>
      <c r="X95" s="219"/>
      <c r="Y95" s="219"/>
      <c r="Z95" s="219"/>
      <c r="AA95" s="219"/>
    </row>
    <row r="96" spans="3:27" s="217" customFormat="1" x14ac:dyDescent="0.25">
      <c r="C96" s="406"/>
      <c r="E96" s="218"/>
      <c r="F96" s="219"/>
      <c r="G96" s="222" t="s">
        <v>324</v>
      </c>
      <c r="H96" s="223">
        <v>0.75</v>
      </c>
      <c r="I96" s="231"/>
      <c r="J96" s="227"/>
      <c r="K96" s="219"/>
      <c r="L96" s="219"/>
      <c r="M96" s="219"/>
      <c r="N96" s="219"/>
      <c r="O96" s="219"/>
      <c r="P96" s="219"/>
      <c r="Q96" s="219"/>
      <c r="R96" s="219"/>
      <c r="S96" s="219"/>
      <c r="T96" s="219"/>
      <c r="U96" s="219"/>
      <c r="V96" s="219"/>
      <c r="W96" s="219"/>
      <c r="X96" s="219"/>
      <c r="Y96" s="219"/>
      <c r="Z96" s="219"/>
      <c r="AA96" s="219"/>
    </row>
    <row r="97" spans="3:27" s="217" customFormat="1" x14ac:dyDescent="0.25">
      <c r="C97" s="406"/>
      <c r="E97" s="218"/>
      <c r="F97" s="219"/>
      <c r="G97" s="222" t="s">
        <v>325</v>
      </c>
      <c r="H97" s="223">
        <f>1-H96</f>
        <v>0.25</v>
      </c>
      <c r="I97" s="230"/>
      <c r="J97" s="227" t="str">
        <f>IF(1-J96=100%,"",1-J96)</f>
        <v/>
      </c>
      <c r="K97" s="219"/>
      <c r="L97" s="219"/>
      <c r="M97" s="219"/>
      <c r="N97" s="219"/>
      <c r="O97" s="219"/>
      <c r="P97" s="219"/>
      <c r="Q97" s="219"/>
      <c r="R97" s="219"/>
      <c r="S97" s="219"/>
      <c r="T97" s="219"/>
      <c r="U97" s="219"/>
      <c r="V97" s="219"/>
      <c r="W97" s="219"/>
      <c r="X97" s="219"/>
      <c r="Y97" s="219"/>
      <c r="Z97" s="219"/>
      <c r="AA97" s="219"/>
    </row>
    <row r="98" spans="3:27" s="217" customFormat="1" x14ac:dyDescent="0.25">
      <c r="C98" s="406"/>
      <c r="E98" s="218"/>
      <c r="F98" s="219"/>
      <c r="G98" s="222"/>
      <c r="H98" s="231" t="s">
        <v>329</v>
      </c>
      <c r="I98" s="229"/>
      <c r="J98" s="231" t="s">
        <v>329</v>
      </c>
      <c r="K98" s="221"/>
      <c r="L98" s="219"/>
      <c r="M98" s="219"/>
      <c r="N98" s="219"/>
      <c r="O98" s="219"/>
      <c r="P98" s="219"/>
      <c r="Q98" s="219"/>
      <c r="R98" s="219"/>
      <c r="S98" s="219"/>
      <c r="T98" s="219"/>
      <c r="U98" s="219"/>
      <c r="V98" s="219"/>
      <c r="W98" s="219"/>
      <c r="X98" s="219"/>
      <c r="Y98" s="219"/>
      <c r="Z98" s="219"/>
      <c r="AA98" s="219"/>
    </row>
    <row r="99" spans="3:27" s="217" customFormat="1" x14ac:dyDescent="0.25">
      <c r="C99" s="406"/>
      <c r="E99" s="218"/>
      <c r="F99" s="219"/>
      <c r="G99" s="222"/>
      <c r="H99" s="224" t="s">
        <v>327</v>
      </c>
      <c r="I99" s="230"/>
      <c r="J99" s="224" t="s">
        <v>327</v>
      </c>
      <c r="K99" s="219"/>
      <c r="L99" s="219"/>
      <c r="M99" s="219"/>
      <c r="N99" s="219"/>
      <c r="O99" s="219"/>
      <c r="P99" s="219"/>
      <c r="Q99" s="219"/>
      <c r="R99" s="219"/>
      <c r="S99" s="219"/>
      <c r="T99" s="219"/>
      <c r="U99" s="219"/>
      <c r="V99" s="219"/>
      <c r="W99" s="219"/>
      <c r="X99" s="219"/>
      <c r="Y99" s="219"/>
      <c r="Z99" s="219"/>
      <c r="AA99" s="219"/>
    </row>
    <row r="100" spans="3:27" s="217" customFormat="1" x14ac:dyDescent="0.25">
      <c r="C100" s="406"/>
      <c r="E100" s="218"/>
      <c r="F100" s="219"/>
      <c r="G100" s="222" t="s">
        <v>324</v>
      </c>
      <c r="H100" s="223">
        <v>0.5</v>
      </c>
      <c r="I100" s="231"/>
      <c r="J100" s="227"/>
      <c r="K100" s="219"/>
      <c r="L100" s="219"/>
      <c r="M100" s="219"/>
      <c r="N100" s="219"/>
      <c r="O100" s="219"/>
      <c r="P100" s="219"/>
      <c r="Q100" s="219"/>
      <c r="R100" s="219"/>
      <c r="S100" s="219"/>
      <c r="T100" s="219"/>
      <c r="U100" s="219"/>
      <c r="V100" s="219"/>
      <c r="W100" s="219"/>
      <c r="X100" s="219"/>
      <c r="Y100" s="219"/>
      <c r="Z100" s="219"/>
      <c r="AA100" s="219"/>
    </row>
    <row r="101" spans="3:27" s="217" customFormat="1" x14ac:dyDescent="0.25">
      <c r="C101" s="406"/>
      <c r="E101" s="218"/>
      <c r="F101" s="219"/>
      <c r="G101" s="222" t="s">
        <v>325</v>
      </c>
      <c r="H101" s="223">
        <f>1-H100</f>
        <v>0.5</v>
      </c>
      <c r="I101" s="230"/>
      <c r="J101" s="227" t="str">
        <f>IF(1-J100=100%,"",1-J100)</f>
        <v/>
      </c>
      <c r="K101" s="219"/>
      <c r="L101" s="219"/>
      <c r="M101" s="219"/>
      <c r="N101" s="219"/>
      <c r="O101" s="219"/>
      <c r="P101" s="219"/>
      <c r="Q101" s="219"/>
      <c r="R101" s="219"/>
      <c r="S101" s="219"/>
      <c r="T101" s="219"/>
      <c r="U101" s="219"/>
      <c r="V101" s="219"/>
      <c r="W101" s="219"/>
      <c r="X101" s="219"/>
      <c r="Y101" s="219"/>
      <c r="Z101" s="219"/>
      <c r="AA101" s="219"/>
    </row>
    <row r="102" spans="3:27" s="217" customFormat="1" x14ac:dyDescent="0.25">
      <c r="C102" s="406"/>
      <c r="E102" s="218"/>
      <c r="F102" s="219"/>
      <c r="G102" s="222"/>
      <c r="H102" s="231" t="s">
        <v>329</v>
      </c>
      <c r="I102" s="229"/>
      <c r="J102" s="231" t="s">
        <v>329</v>
      </c>
      <c r="K102" s="221"/>
      <c r="L102" s="219"/>
      <c r="M102" s="219"/>
      <c r="N102" s="219"/>
      <c r="O102" s="219"/>
      <c r="P102" s="219"/>
      <c r="Q102" s="219"/>
      <c r="R102" s="219"/>
      <c r="S102" s="219"/>
      <c r="T102" s="219"/>
      <c r="U102" s="219"/>
      <c r="V102" s="219"/>
      <c r="W102" s="219"/>
      <c r="X102" s="219"/>
      <c r="Y102" s="219"/>
      <c r="Z102" s="219"/>
      <c r="AA102" s="219"/>
    </row>
    <row r="103" spans="3:27" s="217" customFormat="1" x14ac:dyDescent="0.25">
      <c r="C103" s="406"/>
      <c r="E103" s="218"/>
      <c r="F103" s="219"/>
      <c r="H103" s="224" t="s">
        <v>328</v>
      </c>
      <c r="I103" s="230"/>
      <c r="J103" s="224" t="s">
        <v>328</v>
      </c>
      <c r="K103" s="219"/>
      <c r="L103" s="219"/>
      <c r="M103" s="219"/>
      <c r="N103" s="219"/>
      <c r="O103" s="219"/>
      <c r="P103" s="219"/>
      <c r="Q103" s="219"/>
      <c r="R103" s="219"/>
      <c r="S103" s="219"/>
      <c r="T103" s="219"/>
      <c r="U103" s="219"/>
      <c r="V103" s="219"/>
      <c r="W103" s="219"/>
      <c r="X103" s="219"/>
      <c r="Y103" s="219"/>
      <c r="Z103" s="219"/>
      <c r="AA103" s="219"/>
    </row>
    <row r="104" spans="3:27" s="217" customFormat="1" x14ac:dyDescent="0.25">
      <c r="C104" s="406"/>
      <c r="E104" s="218"/>
      <c r="F104" s="219"/>
      <c r="G104" s="222" t="s">
        <v>324</v>
      </c>
      <c r="H104" s="223">
        <v>0.25</v>
      </c>
      <c r="I104" s="231"/>
      <c r="J104" s="227"/>
      <c r="K104" s="219"/>
      <c r="L104" s="219"/>
      <c r="M104" s="219"/>
      <c r="N104" s="219"/>
      <c r="O104" s="219"/>
      <c r="P104" s="219"/>
      <c r="Q104" s="219"/>
      <c r="R104" s="219"/>
      <c r="S104" s="219"/>
      <c r="T104" s="219"/>
      <c r="U104" s="219"/>
      <c r="V104" s="219"/>
      <c r="W104" s="219"/>
      <c r="X104" s="219"/>
      <c r="Y104" s="219"/>
      <c r="Z104" s="219"/>
      <c r="AA104" s="219"/>
    </row>
    <row r="105" spans="3:27" s="217" customFormat="1" x14ac:dyDescent="0.25">
      <c r="C105" s="406"/>
      <c r="E105" s="218"/>
      <c r="F105" s="219"/>
      <c r="G105" s="222" t="s">
        <v>325</v>
      </c>
      <c r="H105" s="223">
        <f>1-H104</f>
        <v>0.75</v>
      </c>
      <c r="I105" s="229"/>
      <c r="J105" s="227" t="str">
        <f>IF(1-J104=100%,"",1-J104)</f>
        <v/>
      </c>
      <c r="K105" s="219"/>
      <c r="L105" s="219"/>
      <c r="M105" s="219"/>
      <c r="N105" s="219"/>
      <c r="O105" s="219"/>
      <c r="P105" s="219"/>
      <c r="Q105" s="219"/>
      <c r="R105" s="219"/>
      <c r="S105" s="219"/>
      <c r="T105" s="219"/>
      <c r="U105" s="219"/>
      <c r="V105" s="219"/>
      <c r="W105" s="219"/>
      <c r="X105" s="219"/>
      <c r="Y105" s="219"/>
      <c r="Z105" s="219"/>
      <c r="AA105" s="219"/>
    </row>
    <row r="106" spans="3:27" s="217" customFormat="1" x14ac:dyDescent="0.25">
      <c r="C106" s="406"/>
      <c r="E106" s="218"/>
      <c r="F106" s="219"/>
      <c r="G106" s="222"/>
      <c r="H106" s="231" t="s">
        <v>330</v>
      </c>
      <c r="I106" s="229"/>
      <c r="J106" s="231" t="s">
        <v>330</v>
      </c>
      <c r="K106" s="219"/>
      <c r="L106" s="219"/>
      <c r="M106" s="219"/>
      <c r="N106" s="219"/>
      <c r="O106" s="219"/>
      <c r="P106" s="219"/>
      <c r="Q106" s="219"/>
      <c r="R106" s="219"/>
      <c r="S106" s="219"/>
      <c r="T106" s="219"/>
      <c r="U106" s="219"/>
      <c r="V106" s="219"/>
      <c r="W106" s="219"/>
      <c r="X106" s="219"/>
      <c r="Y106" s="219"/>
      <c r="Z106" s="219"/>
      <c r="AA106" s="219"/>
    </row>
    <row r="107" spans="3:27" s="217" customFormat="1" x14ac:dyDescent="0.25">
      <c r="C107" s="406"/>
      <c r="E107" s="218"/>
      <c r="F107" s="219"/>
      <c r="G107" s="25" t="s">
        <v>321</v>
      </c>
      <c r="H107" s="223">
        <v>0.5</v>
      </c>
      <c r="I107" s="231"/>
      <c r="J107" s="227"/>
      <c r="K107" s="219"/>
      <c r="L107" s="219"/>
      <c r="M107" s="219"/>
      <c r="N107" s="219"/>
      <c r="O107" s="219"/>
      <c r="P107" s="219"/>
      <c r="Q107" s="219"/>
      <c r="R107" s="219"/>
      <c r="S107" s="219"/>
      <c r="T107" s="219"/>
      <c r="U107" s="219"/>
      <c r="V107" s="219"/>
      <c r="W107" s="219"/>
      <c r="X107" s="219"/>
      <c r="Y107" s="219"/>
      <c r="Z107" s="219"/>
      <c r="AA107" s="219"/>
    </row>
    <row r="108" spans="3:27" s="217" customFormat="1" x14ac:dyDescent="0.25">
      <c r="C108" s="406"/>
      <c r="E108" s="218"/>
      <c r="F108" s="219"/>
      <c r="G108" s="25" t="s">
        <v>323</v>
      </c>
      <c r="H108" s="223">
        <v>0.25</v>
      </c>
      <c r="I108" s="231"/>
      <c r="J108" s="227"/>
      <c r="K108" s="219"/>
      <c r="L108" s="219"/>
      <c r="M108" s="219"/>
      <c r="N108" s="219"/>
      <c r="O108" s="219"/>
      <c r="P108" s="219"/>
      <c r="Q108" s="219"/>
      <c r="R108" s="219"/>
      <c r="S108" s="219"/>
      <c r="T108" s="219"/>
      <c r="U108" s="219"/>
      <c r="V108" s="219"/>
      <c r="W108" s="219"/>
      <c r="X108" s="219"/>
      <c r="Y108" s="219"/>
      <c r="Z108" s="219"/>
      <c r="AA108" s="219"/>
    </row>
    <row r="109" spans="3:27" s="217" customFormat="1" ht="14.4" x14ac:dyDescent="0.3">
      <c r="C109" s="406"/>
      <c r="E109" s="218"/>
      <c r="F109" s="219"/>
      <c r="G109" s="25" t="s">
        <v>322</v>
      </c>
      <c r="H109" s="223">
        <v>0.25</v>
      </c>
      <c r="I109" s="231"/>
      <c r="J109" s="227"/>
      <c r="K109" s="307" t="str">
        <f>IF(SUM(J107:J109)=0,"",IF(SUM(J107:J109)&lt;&gt;100%,"Values do not sum up to 100%",""))</f>
        <v/>
      </c>
      <c r="L109" s="219"/>
      <c r="M109" s="219"/>
      <c r="N109" s="219"/>
      <c r="O109" s="219"/>
      <c r="P109" s="219"/>
      <c r="Q109" s="219"/>
      <c r="R109" s="219"/>
      <c r="S109" s="219"/>
      <c r="T109" s="219"/>
      <c r="U109" s="219"/>
      <c r="V109" s="219"/>
      <c r="W109" s="219"/>
      <c r="X109" s="219"/>
      <c r="Y109" s="219"/>
      <c r="Z109" s="219"/>
      <c r="AA109" s="219"/>
    </row>
    <row r="110" spans="3:27" s="217" customFormat="1" x14ac:dyDescent="0.25">
      <c r="C110" s="406"/>
      <c r="E110" s="218"/>
      <c r="F110" s="219"/>
      <c r="G110" s="220"/>
      <c r="H110" s="219"/>
      <c r="I110" s="219"/>
      <c r="J110" s="219"/>
      <c r="K110" s="219"/>
      <c r="L110" s="219"/>
      <c r="M110" s="219"/>
      <c r="N110" s="219"/>
      <c r="O110" s="219"/>
      <c r="P110" s="219"/>
      <c r="Q110" s="219"/>
      <c r="R110" s="219"/>
      <c r="S110" s="219"/>
      <c r="T110" s="219"/>
      <c r="U110" s="219"/>
      <c r="V110" s="219"/>
      <c r="W110" s="219"/>
      <c r="X110" s="219"/>
      <c r="Y110" s="219"/>
      <c r="Z110" s="219"/>
      <c r="AA110" s="219"/>
    </row>
    <row r="111" spans="3:27" s="14" customFormat="1" x14ac:dyDescent="0.25">
      <c r="C111" s="406"/>
      <c r="E111" s="63"/>
      <c r="F111" s="54" t="s">
        <v>335</v>
      </c>
      <c r="G111" s="54"/>
      <c r="H111" s="54"/>
      <c r="I111" s="54"/>
      <c r="J111" s="54"/>
      <c r="K111" s="54"/>
      <c r="L111" s="54"/>
      <c r="M111" s="54"/>
      <c r="N111" s="54"/>
      <c r="O111" s="54"/>
      <c r="P111" s="54"/>
      <c r="Q111" s="54"/>
      <c r="R111" s="54"/>
      <c r="S111" s="54"/>
      <c r="T111" s="54"/>
      <c r="U111" s="54"/>
      <c r="V111" s="54"/>
      <c r="W111" s="54"/>
      <c r="X111" s="54"/>
      <c r="Y111" s="54"/>
      <c r="Z111" s="54"/>
      <c r="AA111" s="54"/>
    </row>
    <row r="112" spans="3:27" s="14" customFormat="1" x14ac:dyDescent="0.25">
      <c r="C112" s="406"/>
      <c r="E112" s="63"/>
      <c r="F112" s="243" t="s">
        <v>311</v>
      </c>
      <c r="G112" s="244"/>
      <c r="H112" s="245"/>
      <c r="I112" s="245"/>
      <c r="J112" s="245"/>
      <c r="K112" s="245"/>
      <c r="L112" s="245"/>
      <c r="M112" s="245"/>
      <c r="N112" s="245"/>
      <c r="O112" s="245"/>
      <c r="P112" s="245"/>
      <c r="Q112" s="245"/>
      <c r="R112" s="245"/>
      <c r="S112" s="245"/>
      <c r="T112" s="245"/>
      <c r="U112" s="245"/>
      <c r="V112" s="245"/>
      <c r="W112" s="245"/>
      <c r="X112" s="245"/>
      <c r="Y112" s="245"/>
      <c r="Z112" s="245"/>
      <c r="AA112" s="245"/>
    </row>
    <row r="113" spans="3:27" s="14" customFormat="1" x14ac:dyDescent="0.25">
      <c r="C113" s="406"/>
      <c r="E113" s="63"/>
      <c r="F113" s="1"/>
      <c r="G113" s="40"/>
      <c r="H113" s="1"/>
      <c r="I113" s="1"/>
      <c r="J113" s="1"/>
      <c r="K113" s="1"/>
      <c r="L113" s="1"/>
      <c r="M113" s="1"/>
      <c r="N113" s="1"/>
      <c r="O113" s="1"/>
      <c r="P113" s="1"/>
      <c r="Q113" s="1"/>
      <c r="R113" s="1"/>
      <c r="S113" s="1"/>
      <c r="T113" s="1"/>
      <c r="U113" s="1"/>
      <c r="V113" s="1"/>
      <c r="W113" s="1"/>
      <c r="X113" s="1"/>
      <c r="Y113" s="1"/>
      <c r="Z113" s="1"/>
      <c r="AA113" s="1"/>
    </row>
    <row r="114" spans="3:27" ht="14.4" x14ac:dyDescent="0.25">
      <c r="C114" s="406"/>
      <c r="G114" s="2" t="s">
        <v>243</v>
      </c>
      <c r="H114" s="271">
        <f>'VKS PAMATA DATI'!G31</f>
        <v>0</v>
      </c>
      <c r="I114" s="29"/>
      <c r="J114" s="38" t="s">
        <v>202</v>
      </c>
      <c r="K114" s="31"/>
      <c r="L114" s="31"/>
      <c r="M114" s="31"/>
      <c r="N114" s="31"/>
    </row>
    <row r="115" spans="3:27" ht="14.4" x14ac:dyDescent="0.25">
      <c r="C115" s="406"/>
      <c r="G115" s="2" t="s">
        <v>244</v>
      </c>
      <c r="H115" s="271">
        <f>'VKS PAMATA DATI'!G32</f>
        <v>0</v>
      </c>
      <c r="I115" s="29"/>
      <c r="J115" s="1" t="s">
        <v>203</v>
      </c>
    </row>
    <row r="116" spans="3:27" ht="14.4" x14ac:dyDescent="0.25">
      <c r="C116" s="406"/>
      <c r="G116" s="2" t="s">
        <v>245</v>
      </c>
      <c r="H116" s="271">
        <f>'VKS PAMATA DATI'!G33</f>
        <v>0</v>
      </c>
      <c r="I116" s="29"/>
      <c r="J116" s="14" t="s">
        <v>204</v>
      </c>
      <c r="K116" s="14"/>
      <c r="L116" s="14"/>
      <c r="M116" s="14"/>
      <c r="N116" s="14"/>
    </row>
    <row r="117" spans="3:27" x14ac:dyDescent="0.25">
      <c r="C117" s="406"/>
    </row>
    <row r="118" spans="3:27" s="14" customFormat="1" x14ac:dyDescent="0.25">
      <c r="C118" s="406"/>
      <c r="E118" s="63"/>
      <c r="F118" s="243" t="s">
        <v>312</v>
      </c>
      <c r="G118" s="244"/>
      <c r="H118" s="245"/>
      <c r="I118" s="245"/>
      <c r="J118" s="245"/>
      <c r="K118" s="245"/>
      <c r="L118" s="245"/>
      <c r="M118" s="245"/>
      <c r="N118" s="245"/>
      <c r="O118" s="245"/>
      <c r="P118" s="245"/>
      <c r="Q118" s="245"/>
      <c r="R118" s="245"/>
      <c r="S118" s="245"/>
      <c r="T118" s="245"/>
      <c r="U118" s="245"/>
      <c r="V118" s="245"/>
      <c r="W118" s="245"/>
      <c r="X118" s="245"/>
      <c r="Y118" s="245"/>
      <c r="Z118" s="245"/>
      <c r="AA118" s="245"/>
    </row>
    <row r="119" spans="3:27" x14ac:dyDescent="0.25">
      <c r="C119" s="406"/>
    </row>
    <row r="120" spans="3:27" ht="27.6" x14ac:dyDescent="0.25">
      <c r="C120" s="406"/>
      <c r="G120" s="14"/>
      <c r="H120" s="404" t="s">
        <v>215</v>
      </c>
      <c r="I120" s="404"/>
      <c r="J120" s="404"/>
      <c r="K120" s="8" t="s">
        <v>252</v>
      </c>
      <c r="L120" s="8" t="s">
        <v>253</v>
      </c>
      <c r="M120" s="8" t="s">
        <v>254</v>
      </c>
    </row>
    <row r="121" spans="3:27" x14ac:dyDescent="0.25">
      <c r="C121" s="406"/>
      <c r="G121" s="2" t="s">
        <v>205</v>
      </c>
      <c r="H121" s="403" t="str">
        <f>IF('VKS PAMATA DATI'!J41=0,"",'VKS PAMATA DATI'!J41)</f>
        <v/>
      </c>
      <c r="I121" s="403"/>
      <c r="J121" s="403"/>
      <c r="K121" s="269" t="str">
        <f>IF('VKS PAMATA DATI'!N41=0,"",'VKS PAMATA DATI'!N41)</f>
        <v/>
      </c>
      <c r="L121" s="269" t="str">
        <f>IF('VKS PAMATA DATI'!O41=0,"",'VKS PAMATA DATI'!O41)</f>
        <v/>
      </c>
      <c r="M121" s="269" t="str">
        <f>IF('VKS PAMATA DATI'!P41=0,"",'VKS PAMATA DATI'!P41)</f>
        <v/>
      </c>
    </row>
    <row r="122" spans="3:27" x14ac:dyDescent="0.25">
      <c r="C122" s="406"/>
      <c r="G122" s="2" t="s">
        <v>206</v>
      </c>
      <c r="H122" s="403" t="str">
        <f>IF('VKS PAMATA DATI'!J42=0,"",'VKS PAMATA DATI'!J42)</f>
        <v/>
      </c>
      <c r="I122" s="403"/>
      <c r="J122" s="403"/>
      <c r="K122" s="269" t="str">
        <f>IF('VKS PAMATA DATI'!N42=0,"",'VKS PAMATA DATI'!N42)</f>
        <v/>
      </c>
      <c r="L122" s="269" t="str">
        <f>IF('VKS PAMATA DATI'!O42=0,"",'VKS PAMATA DATI'!O42)</f>
        <v/>
      </c>
      <c r="M122" s="269" t="str">
        <f>IF('VKS PAMATA DATI'!P42=0,"",'VKS PAMATA DATI'!P42)</f>
        <v/>
      </c>
    </row>
    <row r="123" spans="3:27" s="14" customFormat="1" x14ac:dyDescent="0.25">
      <c r="C123" s="406"/>
      <c r="E123" s="63"/>
      <c r="F123" s="1"/>
      <c r="G123" s="2" t="s">
        <v>207</v>
      </c>
      <c r="H123" s="403" t="str">
        <f>IF('VKS PAMATA DATI'!J43=0,"",'VKS PAMATA DATI'!J43)</f>
        <v/>
      </c>
      <c r="I123" s="403"/>
      <c r="J123" s="403"/>
      <c r="K123" s="269" t="str">
        <f>IF('VKS PAMATA DATI'!N43=0,"",'VKS PAMATA DATI'!N43)</f>
        <v/>
      </c>
      <c r="L123" s="269" t="str">
        <f>IF('VKS PAMATA DATI'!O43=0,"",'VKS PAMATA DATI'!O43)</f>
        <v/>
      </c>
      <c r="M123" s="269" t="str">
        <f>IF('VKS PAMATA DATI'!P43=0,"",'VKS PAMATA DATI'!P43)</f>
        <v/>
      </c>
    </row>
    <row r="124" spans="3:27" ht="14.4" x14ac:dyDescent="0.25">
      <c r="C124" s="406"/>
      <c r="F124" s="104"/>
      <c r="G124" s="2" t="s">
        <v>208</v>
      </c>
      <c r="H124" s="403" t="str">
        <f>IF('VKS PAMATA DATI'!J44=0,"",'VKS PAMATA DATI'!J44)</f>
        <v/>
      </c>
      <c r="I124" s="403"/>
      <c r="J124" s="403"/>
      <c r="K124" s="269" t="str">
        <f>IF('VKS PAMATA DATI'!N44=0,"",'VKS PAMATA DATI'!N44)</f>
        <v/>
      </c>
      <c r="L124" s="269" t="str">
        <f>IF('VKS PAMATA DATI'!O44=0,"",'VKS PAMATA DATI'!O44)</f>
        <v/>
      </c>
      <c r="M124" s="269" t="str">
        <f>IF('VKS PAMATA DATI'!P44=0,"",'VKS PAMATA DATI'!P44)</f>
        <v/>
      </c>
      <c r="N124" s="29"/>
    </row>
    <row r="125" spans="3:27" ht="14.4" x14ac:dyDescent="0.25">
      <c r="C125" s="406"/>
      <c r="F125" s="104"/>
      <c r="G125" s="2" t="s">
        <v>209</v>
      </c>
      <c r="H125" s="403" t="str">
        <f>IF('VKS PAMATA DATI'!J45=0,"",'VKS PAMATA DATI'!J45)</f>
        <v/>
      </c>
      <c r="I125" s="403"/>
      <c r="J125" s="403"/>
      <c r="K125" s="269" t="str">
        <f>IF('VKS PAMATA DATI'!N45=0,"",'VKS PAMATA DATI'!N45)</f>
        <v/>
      </c>
      <c r="L125" s="269" t="str">
        <f>IF('VKS PAMATA DATI'!O45=0,"",'VKS PAMATA DATI'!O45)</f>
        <v/>
      </c>
      <c r="M125" s="269" t="str">
        <f>IF('VKS PAMATA DATI'!P45=0,"",'VKS PAMATA DATI'!P45)</f>
        <v/>
      </c>
      <c r="N125" s="29"/>
    </row>
    <row r="126" spans="3:27" ht="14.4" x14ac:dyDescent="0.25">
      <c r="C126" s="406"/>
      <c r="F126" s="104"/>
      <c r="G126" s="2" t="s">
        <v>210</v>
      </c>
      <c r="H126" s="403" t="str">
        <f>IF('VKS PAMATA DATI'!J46=0,"",'VKS PAMATA DATI'!J46)</f>
        <v/>
      </c>
      <c r="I126" s="403"/>
      <c r="J126" s="403"/>
      <c r="K126" s="269" t="str">
        <f>IF('VKS PAMATA DATI'!N46=0,"",'VKS PAMATA DATI'!N46)</f>
        <v/>
      </c>
      <c r="L126" s="269" t="str">
        <f>IF('VKS PAMATA DATI'!O46=0,"",'VKS PAMATA DATI'!O46)</f>
        <v/>
      </c>
      <c r="M126" s="269" t="str">
        <f>IF('VKS PAMATA DATI'!P46=0,"",'VKS PAMATA DATI'!P46)</f>
        <v/>
      </c>
      <c r="N126" s="29"/>
    </row>
    <row r="127" spans="3:27" ht="14.4" x14ac:dyDescent="0.25">
      <c r="C127" s="406"/>
      <c r="G127" s="2" t="s">
        <v>211</v>
      </c>
      <c r="H127" s="403" t="str">
        <f>IF('VKS PAMATA DATI'!J47=0,"",'VKS PAMATA DATI'!J47)</f>
        <v/>
      </c>
      <c r="I127" s="403"/>
      <c r="J127" s="403"/>
      <c r="K127" s="269" t="str">
        <f>IF('VKS PAMATA DATI'!N47=0,"",'VKS PAMATA DATI'!N47)</f>
        <v/>
      </c>
      <c r="L127" s="269" t="str">
        <f>IF('VKS PAMATA DATI'!O47=0,"",'VKS PAMATA DATI'!O47)</f>
        <v/>
      </c>
      <c r="M127" s="269" t="str">
        <f>IF('VKS PAMATA DATI'!P47=0,"",'VKS PAMATA DATI'!P47)</f>
        <v/>
      </c>
      <c r="N127" s="29"/>
    </row>
    <row r="128" spans="3:27" ht="14.4" x14ac:dyDescent="0.25">
      <c r="C128" s="406"/>
      <c r="G128" s="2" t="s">
        <v>212</v>
      </c>
      <c r="H128" s="403" t="str">
        <f>IF('VKS PAMATA DATI'!J48=0,"",'VKS PAMATA DATI'!J48)</f>
        <v/>
      </c>
      <c r="I128" s="403"/>
      <c r="J128" s="403"/>
      <c r="K128" s="269" t="str">
        <f>IF('VKS PAMATA DATI'!N48=0,"",'VKS PAMATA DATI'!N48)</f>
        <v/>
      </c>
      <c r="L128" s="269" t="str">
        <f>IF('VKS PAMATA DATI'!O48=0,"",'VKS PAMATA DATI'!O48)</f>
        <v/>
      </c>
      <c r="M128" s="269" t="str">
        <f>IF('VKS PAMATA DATI'!P48=0,"",'VKS PAMATA DATI'!P48)</f>
        <v/>
      </c>
      <c r="N128" s="29"/>
    </row>
    <row r="129" spans="3:27" ht="14.4" x14ac:dyDescent="0.25">
      <c r="C129" s="406"/>
      <c r="G129" s="2" t="s">
        <v>213</v>
      </c>
      <c r="H129" s="403" t="str">
        <f>IF('VKS PAMATA DATI'!J49=0,"",'VKS PAMATA DATI'!J49)</f>
        <v/>
      </c>
      <c r="I129" s="403"/>
      <c r="J129" s="403"/>
      <c r="K129" s="269" t="str">
        <f>IF('VKS PAMATA DATI'!N49=0,"",'VKS PAMATA DATI'!N49)</f>
        <v/>
      </c>
      <c r="L129" s="269" t="str">
        <f>IF('VKS PAMATA DATI'!O49=0,"",'VKS PAMATA DATI'!O49)</f>
        <v/>
      </c>
      <c r="M129" s="269" t="str">
        <f>IF('VKS PAMATA DATI'!P49=0,"",'VKS PAMATA DATI'!P49)</f>
        <v/>
      </c>
      <c r="N129" s="37"/>
    </row>
    <row r="130" spans="3:27" ht="14.4" x14ac:dyDescent="0.25">
      <c r="C130" s="406"/>
      <c r="G130" s="2" t="s">
        <v>214</v>
      </c>
      <c r="H130" s="403" t="str">
        <f>IF('VKS PAMATA DATI'!J50=0,"",'VKS PAMATA DATI'!J50)</f>
        <v/>
      </c>
      <c r="I130" s="403"/>
      <c r="J130" s="403"/>
      <c r="K130" s="269" t="str">
        <f>IF('VKS PAMATA DATI'!N50=0,"",'VKS PAMATA DATI'!N50)</f>
        <v/>
      </c>
      <c r="L130" s="269" t="str">
        <f>IF('VKS PAMATA DATI'!O50=0,"",'VKS PAMATA DATI'!O50)</f>
        <v/>
      </c>
      <c r="M130" s="269" t="str">
        <f>IF('VKS PAMATA DATI'!P50=0,"",'VKS PAMATA DATI'!P50)</f>
        <v/>
      </c>
      <c r="N130" s="37"/>
    </row>
    <row r="131" spans="3:27" ht="14.4" x14ac:dyDescent="0.25">
      <c r="C131" s="406"/>
      <c r="G131" s="2" t="s">
        <v>291</v>
      </c>
      <c r="H131" s="403" t="str">
        <f>IF('VKS PAMATA DATI'!J51=0,"",'VKS PAMATA DATI'!J51)</f>
        <v/>
      </c>
      <c r="I131" s="403"/>
      <c r="J131" s="403"/>
      <c r="K131" s="269" t="str">
        <f>IF('VKS PAMATA DATI'!N51=0,"",'VKS PAMATA DATI'!N51)</f>
        <v/>
      </c>
      <c r="L131" s="269" t="str">
        <f>IF('VKS PAMATA DATI'!O51=0,"",'VKS PAMATA DATI'!O51)</f>
        <v/>
      </c>
      <c r="M131" s="269" t="str">
        <f>IF('VKS PAMATA DATI'!P51=0,"",'VKS PAMATA DATI'!P51)</f>
        <v/>
      </c>
      <c r="N131" s="37"/>
    </row>
    <row r="132" spans="3:27" ht="14.4" x14ac:dyDescent="0.25">
      <c r="C132" s="406"/>
      <c r="G132" s="2" t="s">
        <v>292</v>
      </c>
      <c r="H132" s="403" t="str">
        <f>IF('VKS PAMATA DATI'!J52=0,"",'VKS PAMATA DATI'!J52)</f>
        <v/>
      </c>
      <c r="I132" s="403"/>
      <c r="J132" s="403"/>
      <c r="K132" s="269" t="str">
        <f>IF('VKS PAMATA DATI'!N52=0,"",'VKS PAMATA DATI'!N52)</f>
        <v/>
      </c>
      <c r="L132" s="269" t="str">
        <f>IF('VKS PAMATA DATI'!O52=0,"",'VKS PAMATA DATI'!O52)</f>
        <v/>
      </c>
      <c r="M132" s="269" t="str">
        <f>IF('VKS PAMATA DATI'!P52=0,"",'VKS PAMATA DATI'!P52)</f>
        <v/>
      </c>
      <c r="N132" s="37"/>
    </row>
    <row r="133" spans="3:27" ht="14.4" x14ac:dyDescent="0.25">
      <c r="C133" s="406"/>
      <c r="G133" s="2" t="s">
        <v>293</v>
      </c>
      <c r="H133" s="403" t="str">
        <f>IF('VKS PAMATA DATI'!J53=0,"",'VKS PAMATA DATI'!J53)</f>
        <v/>
      </c>
      <c r="I133" s="403"/>
      <c r="J133" s="403"/>
      <c r="K133" s="269" t="str">
        <f>IF('VKS PAMATA DATI'!N53=0,"",'VKS PAMATA DATI'!N53)</f>
        <v/>
      </c>
      <c r="L133" s="269" t="str">
        <f>IF('VKS PAMATA DATI'!O53=0,"",'VKS PAMATA DATI'!O53)</f>
        <v/>
      </c>
      <c r="M133" s="269" t="str">
        <f>IF('VKS PAMATA DATI'!P53=0,"",'VKS PAMATA DATI'!P53)</f>
        <v/>
      </c>
      <c r="N133" s="37"/>
    </row>
    <row r="134" spans="3:27" ht="14.4" x14ac:dyDescent="0.25">
      <c r="C134" s="406"/>
      <c r="G134" s="2" t="s">
        <v>294</v>
      </c>
      <c r="H134" s="403" t="str">
        <f>IF('VKS PAMATA DATI'!J54=0,"",'VKS PAMATA DATI'!J54)</f>
        <v/>
      </c>
      <c r="I134" s="403"/>
      <c r="J134" s="403"/>
      <c r="K134" s="269" t="str">
        <f>IF('VKS PAMATA DATI'!N54=0,"",'VKS PAMATA DATI'!N54)</f>
        <v/>
      </c>
      <c r="L134" s="269" t="str">
        <f>IF('VKS PAMATA DATI'!O54=0,"",'VKS PAMATA DATI'!O54)</f>
        <v/>
      </c>
      <c r="M134" s="269" t="str">
        <f>IF('VKS PAMATA DATI'!P54=0,"",'VKS PAMATA DATI'!P54)</f>
        <v/>
      </c>
      <c r="N134" s="37"/>
    </row>
    <row r="135" spans="3:27" ht="14.4" x14ac:dyDescent="0.25">
      <c r="C135" s="406"/>
      <c r="G135" s="2" t="s">
        <v>295</v>
      </c>
      <c r="H135" s="403" t="str">
        <f>IF('VKS PAMATA DATI'!J55=0,"",'VKS PAMATA DATI'!J55)</f>
        <v/>
      </c>
      <c r="I135" s="403"/>
      <c r="J135" s="403"/>
      <c r="K135" s="269" t="str">
        <f>IF('VKS PAMATA DATI'!N55=0,"",'VKS PAMATA DATI'!N55)</f>
        <v/>
      </c>
      <c r="L135" s="269" t="str">
        <f>IF('VKS PAMATA DATI'!O55=0,"",'VKS PAMATA DATI'!O55)</f>
        <v/>
      </c>
      <c r="M135" s="269" t="str">
        <f>IF('VKS PAMATA DATI'!P55=0,"",'VKS PAMATA DATI'!P55)</f>
        <v/>
      </c>
      <c r="N135" s="37"/>
    </row>
    <row r="136" spans="3:27" ht="14.4" x14ac:dyDescent="0.25">
      <c r="C136" s="406"/>
      <c r="G136" s="108"/>
      <c r="H136" s="122"/>
      <c r="J136" s="122" t="s">
        <v>316</v>
      </c>
      <c r="K136" s="270" t="str">
        <f>IFERROR(MEDIAN(K121:K135),"0")</f>
        <v>0</v>
      </c>
      <c r="L136" s="270" t="str">
        <f>IFERROR(MEDIAN(L121:L135),"0")</f>
        <v>0</v>
      </c>
      <c r="M136" s="270" t="str">
        <f>IFERROR(MEDIAN(M121:M135),"0")</f>
        <v>0</v>
      </c>
      <c r="N136" s="37"/>
    </row>
    <row r="137" spans="3:27" ht="14.4" x14ac:dyDescent="0.25">
      <c r="C137" s="406"/>
      <c r="N137" s="37"/>
    </row>
    <row r="138" spans="3:27" s="14" customFormat="1" x14ac:dyDescent="0.25">
      <c r="C138" s="406"/>
      <c r="E138" s="63"/>
      <c r="F138" s="243" t="s">
        <v>333</v>
      </c>
      <c r="G138" s="244"/>
      <c r="H138" s="245"/>
      <c r="I138" s="245"/>
      <c r="J138" s="245"/>
      <c r="K138" s="245"/>
      <c r="L138" s="245"/>
      <c r="M138" s="245"/>
      <c r="N138" s="245"/>
      <c r="O138" s="245"/>
      <c r="P138" s="245"/>
      <c r="Q138" s="245"/>
      <c r="R138" s="245"/>
      <c r="S138" s="245"/>
      <c r="T138" s="245"/>
      <c r="U138" s="245"/>
      <c r="V138" s="245"/>
      <c r="W138" s="245"/>
      <c r="X138" s="245"/>
      <c r="Y138" s="245"/>
      <c r="Z138" s="245"/>
      <c r="AA138" s="245"/>
    </row>
    <row r="139" spans="3:27" s="105" customFormat="1" x14ac:dyDescent="0.25">
      <c r="C139" s="406"/>
      <c r="E139" s="106"/>
      <c r="H139" s="107"/>
      <c r="I139" s="108"/>
      <c r="J139" s="122"/>
      <c r="K139" s="122"/>
      <c r="L139" s="122"/>
      <c r="M139" s="122"/>
    </row>
    <row r="140" spans="3:27" x14ac:dyDescent="0.25">
      <c r="C140" s="406"/>
      <c r="F140" s="232"/>
      <c r="G140" s="233" t="s">
        <v>331</v>
      </c>
      <c r="H140" s="271">
        <f>IFERROR(IF(H91="Suggested",H107*H114+H108*H115+H109*H116,J107*H114+J108*H115+J109*H116),"")</f>
        <v>0</v>
      </c>
    </row>
    <row r="141" spans="3:27" x14ac:dyDescent="0.25">
      <c r="C141" s="406"/>
      <c r="F141" s="232"/>
      <c r="G141" s="233" t="s">
        <v>332</v>
      </c>
      <c r="H141" s="271" t="str">
        <f>IFERROR(AVERAGE(K136:M136),"")</f>
        <v/>
      </c>
    </row>
    <row r="142" spans="3:27" x14ac:dyDescent="0.25">
      <c r="C142" s="406"/>
      <c r="G142" s="2" t="s">
        <v>270</v>
      </c>
      <c r="H142" s="271" t="str">
        <f>IFERROR(IF(H91="Suggested",IF(AND(H92&gt;0,H92&lt;6),(H140*H96+H141*H97),IF(H92&lt;11,(H140*H100+H141*H101),(H140*H104+H141*H105))),IF(AND(H92&gt;0,H92&lt;6),(H140*J96+H141*J97),IF(H92&lt;11,(H140*J100+H141*J101),(H140*J104+H141*J105)))),"")</f>
        <v/>
      </c>
    </row>
    <row r="143" spans="3:27" x14ac:dyDescent="0.25">
      <c r="C143" s="406"/>
      <c r="H143" s="272"/>
      <c r="K143" s="3"/>
    </row>
    <row r="144" spans="3:27" x14ac:dyDescent="0.25">
      <c r="C144" s="406"/>
      <c r="F144" s="54" t="s">
        <v>336</v>
      </c>
      <c r="G144" s="54"/>
      <c r="H144" s="54"/>
      <c r="I144" s="54"/>
      <c r="J144" s="54"/>
      <c r="K144" s="54"/>
      <c r="L144" s="54"/>
      <c r="M144" s="54"/>
      <c r="N144" s="54"/>
      <c r="O144" s="54"/>
      <c r="P144" s="54"/>
      <c r="Q144" s="54"/>
      <c r="R144" s="54"/>
      <c r="S144" s="54"/>
      <c r="T144" s="54"/>
      <c r="U144" s="54"/>
      <c r="V144" s="54"/>
      <c r="W144" s="54"/>
      <c r="X144" s="54"/>
      <c r="Y144" s="54"/>
      <c r="Z144" s="54"/>
      <c r="AA144" s="54"/>
    </row>
    <row r="145" spans="1:27" x14ac:dyDescent="0.25">
      <c r="C145" s="406"/>
      <c r="K145" s="3"/>
    </row>
    <row r="146" spans="1:27" ht="14.4" x14ac:dyDescent="0.25">
      <c r="C146" s="406"/>
      <c r="G146" s="25" t="s">
        <v>449</v>
      </c>
      <c r="H146" s="271">
        <f>'VKS PAMATA DATI'!G58</f>
        <v>0</v>
      </c>
      <c r="I146" s="29"/>
      <c r="K146" s="1" t="s">
        <v>217</v>
      </c>
    </row>
    <row r="147" spans="1:27" x14ac:dyDescent="0.25">
      <c r="A147" s="1" t="s">
        <v>235</v>
      </c>
      <c r="C147" s="406"/>
      <c r="F147" s="31"/>
      <c r="G147" s="31"/>
      <c r="H147" s="36"/>
      <c r="I147" s="31"/>
      <c r="J147" s="31"/>
      <c r="K147" s="36"/>
      <c r="L147" s="31"/>
      <c r="M147" s="31"/>
      <c r="N147" s="31"/>
      <c r="O147" s="31"/>
      <c r="P147" s="31"/>
      <c r="Q147" s="31"/>
      <c r="R147" s="31"/>
      <c r="S147" s="31"/>
      <c r="T147" s="31"/>
      <c r="U147" s="31"/>
      <c r="V147" s="31"/>
      <c r="W147" s="31"/>
      <c r="X147" s="31"/>
      <c r="Y147" s="31"/>
      <c r="Z147" s="31"/>
      <c r="AA147" s="31"/>
    </row>
    <row r="148" spans="1:27" x14ac:dyDescent="0.25">
      <c r="C148" s="406"/>
      <c r="K148" s="3"/>
    </row>
    <row r="149" spans="1:27" x14ac:dyDescent="0.25">
      <c r="C149" s="406"/>
      <c r="F149" s="54" t="s">
        <v>337</v>
      </c>
      <c r="G149" s="54"/>
      <c r="H149" s="54"/>
      <c r="I149" s="54"/>
      <c r="J149" s="54"/>
      <c r="K149" s="54"/>
      <c r="L149" s="54"/>
      <c r="M149" s="54"/>
      <c r="N149" s="54"/>
      <c r="O149" s="54"/>
      <c r="P149" s="54"/>
      <c r="Q149" s="54"/>
      <c r="R149" s="54"/>
      <c r="S149" s="54"/>
      <c r="T149" s="54"/>
      <c r="U149" s="54"/>
      <c r="V149" s="54"/>
      <c r="W149" s="54"/>
      <c r="X149" s="54"/>
      <c r="Y149" s="54"/>
      <c r="Z149" s="54"/>
      <c r="AA149" s="54"/>
    </row>
    <row r="150" spans="1:27" x14ac:dyDescent="0.25">
      <c r="C150" s="406"/>
      <c r="K150" s="3"/>
    </row>
    <row r="151" spans="1:27" ht="14.4" x14ac:dyDescent="0.25">
      <c r="C151" s="406"/>
      <c r="G151" s="25" t="s">
        <v>450</v>
      </c>
      <c r="H151" s="271">
        <f>'VKS PAMATA DATI'!G60</f>
        <v>0</v>
      </c>
      <c r="I151" s="29"/>
    </row>
    <row r="152" spans="1:27" ht="13.5" customHeight="1" x14ac:dyDescent="0.25">
      <c r="K152" s="3"/>
    </row>
    <row r="153" spans="1:27" ht="30" customHeight="1" x14ac:dyDescent="0.25">
      <c r="C153" s="20"/>
      <c r="F153" s="303" t="s">
        <v>185</v>
      </c>
      <c r="G153" s="304"/>
      <c r="H153" s="20"/>
      <c r="I153" s="20"/>
      <c r="J153" s="20"/>
      <c r="K153" s="20"/>
      <c r="L153" s="20"/>
      <c r="M153" s="20"/>
      <c r="N153" s="20"/>
      <c r="O153" s="20"/>
      <c r="P153" s="20"/>
      <c r="Q153" s="20"/>
      <c r="R153" s="20"/>
      <c r="S153" s="20"/>
      <c r="T153" s="20"/>
      <c r="U153" s="20"/>
      <c r="V153" s="20"/>
      <c r="W153" s="20"/>
      <c r="X153" s="20"/>
      <c r="Y153" s="20"/>
      <c r="Z153" s="20"/>
      <c r="AA153" s="20"/>
    </row>
    <row r="154" spans="1:27" s="14" customFormat="1" x14ac:dyDescent="0.25">
      <c r="E154" s="63"/>
      <c r="F154" s="1"/>
      <c r="G154" s="40"/>
      <c r="H154" s="1"/>
      <c r="I154" s="1"/>
      <c r="J154" s="1"/>
      <c r="K154" s="1"/>
      <c r="L154" s="1"/>
      <c r="M154" s="1"/>
      <c r="N154" s="1"/>
      <c r="O154" s="1"/>
      <c r="P154" s="1"/>
      <c r="Q154" s="1"/>
      <c r="R154" s="1"/>
      <c r="S154" s="1"/>
      <c r="T154" s="1"/>
      <c r="U154" s="1"/>
      <c r="V154" s="1"/>
      <c r="W154" s="1"/>
      <c r="X154" s="1"/>
      <c r="Y154" s="1"/>
      <c r="Z154" s="1"/>
      <c r="AA154" s="1"/>
    </row>
    <row r="155" spans="1:27" s="14" customFormat="1" ht="15" customHeight="1" x14ac:dyDescent="0.25">
      <c r="C155" s="406" t="s">
        <v>185</v>
      </c>
      <c r="E155" s="63"/>
      <c r="F155" s="234" t="s">
        <v>334</v>
      </c>
      <c r="G155" s="40"/>
      <c r="H155" s="1"/>
      <c r="I155" s="1"/>
      <c r="J155" s="1"/>
      <c r="K155" s="1"/>
      <c r="L155" s="1"/>
      <c r="M155" s="1"/>
      <c r="N155" s="1"/>
      <c r="O155" s="1"/>
      <c r="P155" s="1"/>
      <c r="Q155" s="1"/>
      <c r="R155" s="1"/>
      <c r="S155" s="1"/>
      <c r="T155" s="1"/>
      <c r="U155" s="1"/>
      <c r="V155" s="1"/>
      <c r="W155" s="1"/>
      <c r="X155" s="1"/>
      <c r="Y155" s="1"/>
      <c r="Z155" s="1"/>
      <c r="AA155" s="1"/>
    </row>
    <row r="156" spans="1:27" s="14" customFormat="1" x14ac:dyDescent="0.25">
      <c r="C156" s="406"/>
      <c r="E156" s="63"/>
      <c r="F156" s="1"/>
      <c r="G156" s="40"/>
      <c r="H156" s="1"/>
      <c r="I156" s="1"/>
      <c r="J156" s="1"/>
      <c r="K156" s="1"/>
      <c r="L156" s="1"/>
      <c r="M156" s="1"/>
      <c r="N156" s="1"/>
      <c r="O156" s="1"/>
      <c r="P156" s="1"/>
      <c r="Q156" s="1"/>
      <c r="R156" s="1"/>
      <c r="S156" s="1"/>
      <c r="T156" s="1"/>
      <c r="U156" s="1"/>
      <c r="V156" s="1"/>
      <c r="W156" s="1"/>
      <c r="X156" s="1"/>
      <c r="Y156" s="1"/>
      <c r="Z156" s="1"/>
      <c r="AA156" s="1"/>
    </row>
    <row r="157" spans="1:27" s="14" customFormat="1" x14ac:dyDescent="0.25">
      <c r="C157" s="406"/>
      <c r="E157" s="63"/>
      <c r="F157" s="1"/>
      <c r="G157" s="40"/>
      <c r="H157" s="1"/>
      <c r="I157" s="1"/>
      <c r="J157" s="1"/>
      <c r="K157" s="1"/>
      <c r="L157" s="1"/>
      <c r="M157" s="1"/>
      <c r="N157" s="1"/>
      <c r="O157" s="1"/>
      <c r="P157" s="1"/>
      <c r="Q157" s="1"/>
      <c r="R157" s="1"/>
      <c r="S157" s="1"/>
      <c r="T157" s="1"/>
      <c r="U157" s="1"/>
      <c r="V157" s="1"/>
      <c r="W157" s="1"/>
      <c r="X157" s="1"/>
      <c r="Y157" s="1"/>
      <c r="Z157" s="1"/>
      <c r="AA157" s="1"/>
    </row>
    <row r="158" spans="1:27" s="14" customFormat="1" x14ac:dyDescent="0.25">
      <c r="C158" s="406"/>
      <c r="E158" s="63"/>
      <c r="F158" s="1"/>
      <c r="G158" s="40"/>
      <c r="H158" s="1"/>
      <c r="I158" s="1"/>
      <c r="J158" s="1"/>
      <c r="K158" s="1"/>
      <c r="L158" s="1"/>
      <c r="M158" s="1"/>
      <c r="N158" s="1"/>
      <c r="O158" s="1"/>
      <c r="P158" s="1"/>
      <c r="Q158" s="1"/>
      <c r="R158" s="1"/>
      <c r="S158" s="1"/>
      <c r="T158" s="1"/>
      <c r="U158" s="1"/>
      <c r="V158" s="1"/>
      <c r="W158" s="1"/>
      <c r="X158" s="1"/>
      <c r="Y158" s="1"/>
      <c r="Z158" s="1"/>
      <c r="AA158" s="1"/>
    </row>
    <row r="159" spans="1:27" s="14" customFormat="1" x14ac:dyDescent="0.25">
      <c r="C159" s="406"/>
      <c r="E159" s="63"/>
      <c r="F159" s="1"/>
      <c r="G159" s="40"/>
      <c r="H159" s="1"/>
      <c r="I159" s="1"/>
      <c r="J159" s="1"/>
      <c r="K159" s="1"/>
      <c r="L159" s="1"/>
      <c r="M159" s="1"/>
      <c r="N159" s="1"/>
      <c r="O159" s="1"/>
      <c r="P159" s="1"/>
      <c r="Q159" s="1"/>
      <c r="R159" s="1"/>
      <c r="S159" s="1"/>
      <c r="T159" s="1"/>
      <c r="U159" s="1"/>
      <c r="V159" s="1"/>
      <c r="W159" s="1"/>
      <c r="X159" s="1"/>
      <c r="Y159" s="1"/>
      <c r="Z159" s="1"/>
      <c r="AA159" s="1"/>
    </row>
    <row r="160" spans="1:27" s="14" customFormat="1" x14ac:dyDescent="0.25">
      <c r="C160" s="406"/>
      <c r="E160" s="63"/>
      <c r="F160" s="1"/>
      <c r="G160" s="40"/>
      <c r="H160" s="1"/>
      <c r="I160" s="1"/>
      <c r="J160" s="1"/>
      <c r="K160" s="1"/>
      <c r="L160" s="1"/>
      <c r="M160" s="1"/>
      <c r="N160" s="1"/>
      <c r="O160" s="1"/>
      <c r="P160" s="1"/>
      <c r="Q160" s="1"/>
      <c r="R160" s="1"/>
      <c r="S160" s="1"/>
      <c r="T160" s="1"/>
      <c r="U160" s="1"/>
      <c r="V160" s="1"/>
      <c r="W160" s="1"/>
      <c r="X160" s="1"/>
      <c r="Y160" s="1"/>
      <c r="Z160" s="1"/>
      <c r="AA160" s="1"/>
    </row>
    <row r="161" spans="3:27" s="14" customFormat="1" x14ac:dyDescent="0.25">
      <c r="C161" s="406"/>
      <c r="E161" s="63"/>
      <c r="F161" s="1"/>
      <c r="G161" s="40"/>
      <c r="H161" s="1"/>
      <c r="I161" s="1"/>
      <c r="J161" s="1"/>
      <c r="K161" s="1"/>
      <c r="L161" s="1"/>
      <c r="M161" s="1"/>
      <c r="N161" s="1"/>
      <c r="O161" s="1"/>
      <c r="P161" s="1"/>
      <c r="Q161" s="1"/>
      <c r="R161" s="1"/>
      <c r="S161" s="1"/>
      <c r="T161" s="1"/>
      <c r="U161" s="1"/>
      <c r="V161" s="1"/>
      <c r="W161" s="1"/>
      <c r="X161" s="1"/>
      <c r="Y161" s="1"/>
      <c r="Z161" s="1"/>
      <c r="AA161" s="1"/>
    </row>
    <row r="162" spans="3:27" s="14" customFormat="1" x14ac:dyDescent="0.25">
      <c r="C162" s="406"/>
      <c r="E162" s="63"/>
      <c r="F162" s="1"/>
      <c r="G162" s="40"/>
      <c r="H162" s="1"/>
      <c r="I162" s="1"/>
      <c r="J162" s="1"/>
      <c r="K162" s="1"/>
      <c r="L162" s="1"/>
      <c r="M162" s="1"/>
      <c r="N162" s="1"/>
      <c r="O162" s="1"/>
      <c r="P162" s="1"/>
      <c r="Q162" s="1"/>
      <c r="R162" s="1"/>
      <c r="S162" s="1"/>
      <c r="T162" s="1"/>
      <c r="U162" s="1"/>
      <c r="V162" s="1"/>
      <c r="W162" s="1"/>
      <c r="X162" s="1"/>
      <c r="Y162" s="1"/>
      <c r="Z162" s="1"/>
      <c r="AA162" s="1"/>
    </row>
    <row r="163" spans="3:27" s="14" customFormat="1" x14ac:dyDescent="0.25">
      <c r="C163" s="406"/>
      <c r="E163" s="63"/>
      <c r="F163" s="1"/>
      <c r="G163" s="40"/>
      <c r="H163" s="1"/>
      <c r="I163" s="1"/>
      <c r="J163" s="1"/>
      <c r="K163" s="1"/>
      <c r="L163" s="1"/>
      <c r="M163" s="1"/>
      <c r="N163" s="1"/>
      <c r="O163" s="1"/>
      <c r="P163" s="1"/>
      <c r="Q163" s="1"/>
      <c r="R163" s="1"/>
      <c r="S163" s="1"/>
      <c r="T163" s="1"/>
      <c r="U163" s="1"/>
      <c r="V163" s="1"/>
      <c r="W163" s="1"/>
      <c r="X163" s="1"/>
      <c r="Y163" s="1"/>
      <c r="Z163" s="1"/>
      <c r="AA163" s="1"/>
    </row>
    <row r="164" spans="3:27" s="14" customFormat="1" x14ac:dyDescent="0.25">
      <c r="C164" s="406"/>
      <c r="E164" s="63"/>
      <c r="F164" s="1"/>
      <c r="G164" s="40"/>
      <c r="H164" s="1"/>
      <c r="I164" s="1"/>
      <c r="J164" s="1"/>
      <c r="K164" s="1"/>
      <c r="L164" s="1"/>
      <c r="M164" s="1"/>
      <c r="N164" s="1"/>
      <c r="O164" s="1"/>
      <c r="P164" s="1"/>
      <c r="Q164" s="1"/>
      <c r="R164" s="1"/>
      <c r="S164" s="1"/>
      <c r="T164" s="1"/>
      <c r="U164" s="1"/>
      <c r="V164" s="1"/>
      <c r="W164" s="1"/>
      <c r="X164" s="1"/>
      <c r="Y164" s="1"/>
      <c r="Z164" s="1"/>
      <c r="AA164" s="1"/>
    </row>
    <row r="165" spans="3:27" s="14" customFormat="1" x14ac:dyDescent="0.25">
      <c r="C165" s="406"/>
      <c r="E165" s="63"/>
      <c r="F165" s="1"/>
      <c r="G165" s="40"/>
      <c r="H165" s="1"/>
      <c r="I165" s="1"/>
      <c r="J165" s="1"/>
      <c r="K165" s="1"/>
      <c r="L165" s="1"/>
      <c r="M165" s="1"/>
      <c r="N165" s="1"/>
      <c r="O165" s="1"/>
      <c r="P165" s="1"/>
      <c r="Q165" s="1"/>
      <c r="R165" s="1"/>
      <c r="S165" s="1"/>
      <c r="T165" s="1"/>
      <c r="U165" s="1"/>
      <c r="V165" s="1"/>
      <c r="W165" s="1"/>
      <c r="X165" s="1"/>
      <c r="Y165" s="1"/>
      <c r="Z165" s="1"/>
      <c r="AA165" s="1"/>
    </row>
    <row r="166" spans="3:27" s="14" customFormat="1" x14ac:dyDescent="0.25">
      <c r="C166" s="406"/>
      <c r="E166" s="63"/>
      <c r="F166" s="1"/>
      <c r="G166" s="40"/>
      <c r="H166" s="1"/>
      <c r="I166" s="1"/>
      <c r="J166" s="1"/>
      <c r="K166" s="1"/>
      <c r="L166" s="1"/>
      <c r="M166" s="1"/>
      <c r="N166" s="1"/>
      <c r="O166" s="1"/>
      <c r="P166" s="1"/>
      <c r="Q166" s="1"/>
      <c r="R166" s="1"/>
      <c r="S166" s="1"/>
      <c r="T166" s="1"/>
      <c r="U166" s="1"/>
      <c r="V166" s="1"/>
      <c r="W166" s="1"/>
      <c r="X166" s="1"/>
      <c r="Y166" s="1"/>
      <c r="Z166" s="1"/>
      <c r="AA166" s="1"/>
    </row>
    <row r="167" spans="3:27" s="217" customFormat="1" ht="14.25" customHeight="1" x14ac:dyDescent="0.25">
      <c r="C167" s="406"/>
      <c r="E167" s="218"/>
      <c r="F167" s="219"/>
      <c r="G167" s="220"/>
      <c r="H167" s="219"/>
      <c r="I167" s="219"/>
      <c r="J167" s="219"/>
      <c r="K167" s="219"/>
      <c r="L167" s="219"/>
      <c r="M167" s="219"/>
      <c r="N167" s="219"/>
      <c r="O167" s="219"/>
      <c r="P167" s="219"/>
      <c r="Q167" s="219"/>
      <c r="R167" s="219"/>
      <c r="S167" s="219"/>
      <c r="T167" s="219"/>
      <c r="U167" s="219"/>
      <c r="V167" s="219"/>
      <c r="W167" s="219"/>
      <c r="X167" s="219"/>
      <c r="Y167" s="219"/>
      <c r="Z167" s="219"/>
      <c r="AA167" s="219"/>
    </row>
    <row r="168" spans="3:27" s="217" customFormat="1" ht="14.25" customHeight="1" x14ac:dyDescent="0.25">
      <c r="C168" s="406"/>
      <c r="E168" s="218"/>
      <c r="F168" s="219"/>
      <c r="G168" s="220"/>
      <c r="H168" s="219"/>
      <c r="I168" s="219"/>
      <c r="J168" s="219"/>
      <c r="K168" s="219"/>
      <c r="L168" s="219"/>
      <c r="M168" s="219"/>
      <c r="N168" s="219"/>
      <c r="O168" s="219"/>
      <c r="P168" s="219"/>
      <c r="Q168" s="219"/>
      <c r="R168" s="219"/>
      <c r="S168" s="219"/>
      <c r="T168" s="219"/>
      <c r="U168" s="219"/>
      <c r="V168" s="219"/>
      <c r="W168" s="219"/>
      <c r="X168" s="219"/>
      <c r="Y168" s="219"/>
      <c r="Z168" s="219"/>
      <c r="AA168" s="219"/>
    </row>
    <row r="169" spans="3:27" s="217" customFormat="1" x14ac:dyDescent="0.25">
      <c r="C169" s="406"/>
      <c r="E169" s="218"/>
      <c r="F169" s="219"/>
      <c r="G169" s="25" t="s">
        <v>342</v>
      </c>
      <c r="H169" s="400" t="s">
        <v>319</v>
      </c>
      <c r="I169" s="401"/>
      <c r="J169" s="401"/>
      <c r="K169" s="247" t="s">
        <v>345</v>
      </c>
      <c r="L169" s="219" t="s">
        <v>346</v>
      </c>
      <c r="M169" s="219"/>
      <c r="N169" s="219"/>
      <c r="O169" s="219"/>
      <c r="P169" s="219"/>
      <c r="Q169" s="219"/>
      <c r="R169" s="219"/>
      <c r="S169" s="219"/>
      <c r="T169" s="219"/>
      <c r="U169" s="219"/>
      <c r="V169" s="219"/>
      <c r="W169" s="219"/>
      <c r="X169" s="219"/>
      <c r="Y169" s="219"/>
      <c r="Z169" s="219"/>
      <c r="AA169" s="219"/>
    </row>
    <row r="170" spans="3:27" s="217" customFormat="1" x14ac:dyDescent="0.25">
      <c r="C170" s="406"/>
      <c r="E170" s="218"/>
      <c r="F170" s="219"/>
      <c r="G170" s="25" t="s">
        <v>344</v>
      </c>
      <c r="H170" s="402" t="str">
        <f>IF(COUNTA('VKS PAMATA DATI'!J41:J55)&lt;&gt;0,COUNTA('VKS PAMATA DATI'!J41:J55),"")</f>
        <v/>
      </c>
      <c r="I170" s="402"/>
      <c r="J170" s="402"/>
      <c r="K170" s="219"/>
      <c r="L170" s="219"/>
      <c r="M170" s="219"/>
      <c r="N170" s="219"/>
      <c r="O170" s="219"/>
      <c r="P170" s="219"/>
      <c r="Q170" s="219"/>
      <c r="R170" s="219"/>
      <c r="S170" s="219"/>
      <c r="T170" s="219"/>
      <c r="U170" s="219"/>
      <c r="V170" s="219"/>
      <c r="W170" s="219"/>
      <c r="X170" s="219"/>
      <c r="Y170" s="219"/>
      <c r="Z170" s="219"/>
      <c r="AA170" s="219"/>
    </row>
    <row r="171" spans="3:27" s="217" customFormat="1" ht="13.5" customHeight="1" x14ac:dyDescent="0.25">
      <c r="C171" s="406"/>
      <c r="E171" s="218"/>
      <c r="F171" s="219"/>
      <c r="G171" s="25"/>
      <c r="H171" s="219"/>
      <c r="I171" s="219"/>
      <c r="J171" s="219"/>
      <c r="K171" s="219"/>
      <c r="L171" s="219"/>
      <c r="M171" s="219"/>
      <c r="N171" s="219"/>
      <c r="O171" s="219"/>
      <c r="P171" s="219"/>
      <c r="Q171" s="219"/>
      <c r="R171" s="219"/>
      <c r="S171" s="219"/>
      <c r="T171" s="219"/>
      <c r="U171" s="219"/>
      <c r="V171" s="219"/>
      <c r="W171" s="219"/>
      <c r="X171" s="219"/>
      <c r="Y171" s="219"/>
      <c r="Z171" s="219"/>
      <c r="AA171" s="219"/>
    </row>
    <row r="172" spans="3:27" s="217" customFormat="1" x14ac:dyDescent="0.25">
      <c r="C172" s="406"/>
      <c r="E172" s="218"/>
      <c r="F172" s="219"/>
      <c r="H172" s="225" t="s">
        <v>319</v>
      </c>
      <c r="I172" s="226"/>
      <c r="J172" s="228" t="s">
        <v>320</v>
      </c>
      <c r="K172" s="219"/>
      <c r="L172" s="219"/>
      <c r="M172" s="219"/>
      <c r="N172" s="219"/>
      <c r="O172" s="219"/>
      <c r="P172" s="219"/>
      <c r="Q172" s="219"/>
      <c r="R172" s="219"/>
      <c r="S172" s="219"/>
      <c r="T172" s="219"/>
      <c r="U172" s="219"/>
      <c r="V172" s="219"/>
      <c r="W172" s="219"/>
      <c r="X172" s="219"/>
      <c r="Y172" s="219"/>
      <c r="Z172" s="219"/>
      <c r="AA172" s="219"/>
    </row>
    <row r="173" spans="3:27" s="217" customFormat="1" x14ac:dyDescent="0.25">
      <c r="C173" s="406"/>
      <c r="E173" s="218"/>
      <c r="F173" s="219"/>
      <c r="G173" s="222"/>
      <c r="H173" s="224" t="s">
        <v>326</v>
      </c>
      <c r="I173" s="229"/>
      <c r="J173" s="224" t="s">
        <v>326</v>
      </c>
      <c r="K173" s="219"/>
      <c r="L173" s="219"/>
      <c r="M173" s="219"/>
      <c r="N173" s="219"/>
      <c r="O173" s="219"/>
      <c r="P173" s="219"/>
      <c r="Q173" s="219"/>
      <c r="R173" s="219"/>
      <c r="S173" s="219"/>
      <c r="T173" s="219"/>
      <c r="U173" s="219"/>
      <c r="V173" s="219"/>
      <c r="W173" s="219"/>
      <c r="X173" s="219"/>
      <c r="Y173" s="219"/>
      <c r="Z173" s="219"/>
      <c r="AA173" s="219"/>
    </row>
    <row r="174" spans="3:27" s="217" customFormat="1" x14ac:dyDescent="0.25">
      <c r="C174" s="406"/>
      <c r="E174" s="218"/>
      <c r="F174" s="219"/>
      <c r="G174" s="222" t="s">
        <v>324</v>
      </c>
      <c r="H174" s="223">
        <v>0.75</v>
      </c>
      <c r="I174" s="231"/>
      <c r="J174" s="227"/>
      <c r="K174" s="219"/>
      <c r="L174" s="219"/>
      <c r="M174" s="219"/>
      <c r="N174" s="219"/>
      <c r="O174" s="219"/>
      <c r="P174" s="219"/>
      <c r="Q174" s="219"/>
      <c r="R174" s="219"/>
      <c r="S174" s="219"/>
      <c r="T174" s="219"/>
      <c r="U174" s="219"/>
      <c r="V174" s="219"/>
      <c r="W174" s="219"/>
      <c r="X174" s="219"/>
      <c r="Y174" s="219"/>
      <c r="Z174" s="219"/>
      <c r="AA174" s="219"/>
    </row>
    <row r="175" spans="3:27" s="217" customFormat="1" x14ac:dyDescent="0.25">
      <c r="C175" s="406"/>
      <c r="E175" s="218"/>
      <c r="F175" s="219"/>
      <c r="G175" s="222" t="s">
        <v>325</v>
      </c>
      <c r="H175" s="223">
        <f>1-H174</f>
        <v>0.25</v>
      </c>
      <c r="I175" s="230"/>
      <c r="J175" s="227" t="str">
        <f>IF(1-J174=100%,"",1-J174)</f>
        <v/>
      </c>
      <c r="K175" s="219"/>
      <c r="L175" s="219"/>
      <c r="M175" s="219"/>
      <c r="N175" s="219"/>
      <c r="O175" s="219"/>
      <c r="P175" s="219"/>
      <c r="Q175" s="219"/>
      <c r="R175" s="219"/>
      <c r="S175" s="219"/>
      <c r="T175" s="219"/>
      <c r="U175" s="219"/>
      <c r="V175" s="219"/>
      <c r="W175" s="219"/>
      <c r="X175" s="219"/>
      <c r="Y175" s="219"/>
      <c r="Z175" s="219"/>
      <c r="AA175" s="219"/>
    </row>
    <row r="176" spans="3:27" s="217" customFormat="1" x14ac:dyDescent="0.25">
      <c r="C176" s="406"/>
      <c r="E176" s="218"/>
      <c r="F176" s="219"/>
      <c r="G176" s="222"/>
      <c r="H176" s="231" t="s">
        <v>329</v>
      </c>
      <c r="I176" s="229"/>
      <c r="J176" s="231" t="s">
        <v>329</v>
      </c>
      <c r="K176" s="221"/>
      <c r="L176" s="219"/>
      <c r="M176" s="219"/>
      <c r="N176" s="219"/>
      <c r="O176" s="219"/>
      <c r="P176" s="219"/>
      <c r="Q176" s="219"/>
      <c r="R176" s="219"/>
      <c r="S176" s="219"/>
      <c r="T176" s="219"/>
      <c r="U176" s="219"/>
      <c r="V176" s="219"/>
      <c r="W176" s="219"/>
      <c r="X176" s="219"/>
      <c r="Y176" s="219"/>
      <c r="Z176" s="219"/>
      <c r="AA176" s="219"/>
    </row>
    <row r="177" spans="3:27" s="217" customFormat="1" x14ac:dyDescent="0.25">
      <c r="C177" s="406"/>
      <c r="E177" s="218"/>
      <c r="F177" s="219"/>
      <c r="G177" s="222"/>
      <c r="H177" s="224" t="s">
        <v>327</v>
      </c>
      <c r="I177" s="230"/>
      <c r="J177" s="224" t="s">
        <v>327</v>
      </c>
      <c r="K177" s="219"/>
      <c r="L177" s="219"/>
      <c r="M177" s="219"/>
      <c r="N177" s="219"/>
      <c r="O177" s="219"/>
      <c r="P177" s="219"/>
      <c r="Q177" s="219"/>
      <c r="R177" s="219"/>
      <c r="S177" s="219"/>
      <c r="T177" s="219"/>
      <c r="U177" s="219"/>
      <c r="V177" s="219"/>
      <c r="W177" s="219"/>
      <c r="X177" s="219"/>
      <c r="Y177" s="219"/>
      <c r="Z177" s="219"/>
      <c r="AA177" s="219"/>
    </row>
    <row r="178" spans="3:27" s="217" customFormat="1" x14ac:dyDescent="0.25">
      <c r="C178" s="406"/>
      <c r="E178" s="218"/>
      <c r="F178" s="219"/>
      <c r="G178" s="222" t="s">
        <v>324</v>
      </c>
      <c r="H178" s="223">
        <v>0.5</v>
      </c>
      <c r="I178" s="231"/>
      <c r="J178" s="227"/>
      <c r="K178" s="219"/>
      <c r="L178" s="219"/>
      <c r="M178" s="219"/>
      <c r="N178" s="219"/>
      <c r="O178" s="219"/>
      <c r="P178" s="219"/>
      <c r="Q178" s="219"/>
      <c r="R178" s="219"/>
      <c r="S178" s="219"/>
      <c r="T178" s="219"/>
      <c r="U178" s="219"/>
      <c r="V178" s="219"/>
      <c r="W178" s="219"/>
      <c r="X178" s="219"/>
      <c r="Y178" s="219"/>
      <c r="Z178" s="219"/>
      <c r="AA178" s="219"/>
    </row>
    <row r="179" spans="3:27" s="217" customFormat="1" x14ac:dyDescent="0.25">
      <c r="C179" s="406"/>
      <c r="E179" s="218"/>
      <c r="F179" s="219"/>
      <c r="G179" s="222" t="s">
        <v>325</v>
      </c>
      <c r="H179" s="223">
        <f>1-H178</f>
        <v>0.5</v>
      </c>
      <c r="I179" s="230"/>
      <c r="J179" s="227" t="str">
        <f>IF(1-J178=100%,"",1-J178)</f>
        <v/>
      </c>
      <c r="K179" s="219"/>
      <c r="L179" s="219"/>
      <c r="M179" s="219"/>
      <c r="N179" s="219"/>
      <c r="O179" s="219"/>
      <c r="P179" s="219"/>
      <c r="Q179" s="219"/>
      <c r="R179" s="219"/>
      <c r="S179" s="219"/>
      <c r="T179" s="219"/>
      <c r="U179" s="219"/>
      <c r="V179" s="219"/>
      <c r="W179" s="219"/>
      <c r="X179" s="219"/>
      <c r="Y179" s="219"/>
      <c r="Z179" s="219"/>
      <c r="AA179" s="219"/>
    </row>
    <row r="180" spans="3:27" s="217" customFormat="1" x14ac:dyDescent="0.25">
      <c r="C180" s="406"/>
      <c r="E180" s="218"/>
      <c r="F180" s="219"/>
      <c r="G180" s="222"/>
      <c r="H180" s="231" t="s">
        <v>329</v>
      </c>
      <c r="I180" s="229"/>
      <c r="J180" s="231" t="s">
        <v>329</v>
      </c>
      <c r="K180" s="221"/>
      <c r="L180" s="219"/>
      <c r="M180" s="219"/>
      <c r="N180" s="219"/>
      <c r="O180" s="219"/>
      <c r="P180" s="219"/>
      <c r="Q180" s="219"/>
      <c r="R180" s="219"/>
      <c r="S180" s="219"/>
      <c r="T180" s="219"/>
      <c r="U180" s="219"/>
      <c r="V180" s="219"/>
      <c r="W180" s="219"/>
      <c r="X180" s="219"/>
      <c r="Y180" s="219"/>
      <c r="Z180" s="219"/>
      <c r="AA180" s="219"/>
    </row>
    <row r="181" spans="3:27" s="217" customFormat="1" x14ac:dyDescent="0.25">
      <c r="C181" s="406"/>
      <c r="E181" s="218"/>
      <c r="F181" s="219"/>
      <c r="H181" s="224" t="s">
        <v>328</v>
      </c>
      <c r="I181" s="230"/>
      <c r="J181" s="224" t="s">
        <v>328</v>
      </c>
      <c r="K181" s="219"/>
      <c r="L181" s="219"/>
      <c r="M181" s="219"/>
      <c r="N181" s="219"/>
      <c r="O181" s="219"/>
      <c r="P181" s="219"/>
      <c r="Q181" s="219"/>
      <c r="R181" s="219"/>
      <c r="S181" s="219"/>
      <c r="T181" s="219"/>
      <c r="U181" s="219"/>
      <c r="V181" s="219"/>
      <c r="W181" s="219"/>
      <c r="X181" s="219"/>
      <c r="Y181" s="219"/>
      <c r="Z181" s="219"/>
      <c r="AA181" s="219"/>
    </row>
    <row r="182" spans="3:27" s="217" customFormat="1" x14ac:dyDescent="0.25">
      <c r="C182" s="406"/>
      <c r="E182" s="218"/>
      <c r="F182" s="219"/>
      <c r="G182" s="222" t="s">
        <v>324</v>
      </c>
      <c r="H182" s="223">
        <v>0.25</v>
      </c>
      <c r="I182" s="231"/>
      <c r="J182" s="227"/>
      <c r="K182" s="219"/>
      <c r="L182" s="219"/>
      <c r="M182" s="219"/>
      <c r="N182" s="219"/>
      <c r="O182" s="219"/>
      <c r="P182" s="219"/>
      <c r="Q182" s="219"/>
      <c r="R182" s="219"/>
      <c r="S182" s="219"/>
      <c r="T182" s="219"/>
      <c r="U182" s="219"/>
      <c r="V182" s="219"/>
      <c r="W182" s="219"/>
      <c r="X182" s="219"/>
      <c r="Y182" s="219"/>
      <c r="Z182" s="219"/>
      <c r="AA182" s="219"/>
    </row>
    <row r="183" spans="3:27" s="217" customFormat="1" x14ac:dyDescent="0.25">
      <c r="C183" s="406"/>
      <c r="E183" s="218"/>
      <c r="F183" s="219"/>
      <c r="G183" s="222" t="s">
        <v>325</v>
      </c>
      <c r="H183" s="223">
        <f>1-H182</f>
        <v>0.75</v>
      </c>
      <c r="I183" s="229"/>
      <c r="J183" s="227" t="str">
        <f>IF(1-J182=100%,"",1-J182)</f>
        <v/>
      </c>
      <c r="K183" s="219"/>
      <c r="L183" s="219"/>
      <c r="M183" s="219"/>
      <c r="N183" s="219"/>
      <c r="O183" s="219"/>
      <c r="P183" s="219"/>
      <c r="Q183" s="219"/>
      <c r="R183" s="219"/>
      <c r="S183" s="219"/>
      <c r="T183" s="219"/>
      <c r="U183" s="219"/>
      <c r="V183" s="219"/>
      <c r="W183" s="219"/>
      <c r="X183" s="219"/>
      <c r="Y183" s="219"/>
      <c r="Z183" s="219"/>
      <c r="AA183" s="219"/>
    </row>
    <row r="184" spans="3:27" s="217" customFormat="1" x14ac:dyDescent="0.25">
      <c r="C184" s="406"/>
      <c r="E184" s="218"/>
      <c r="F184" s="219"/>
      <c r="G184" s="222"/>
      <c r="H184" s="231" t="s">
        <v>330</v>
      </c>
      <c r="I184" s="229"/>
      <c r="J184" s="231" t="s">
        <v>330</v>
      </c>
      <c r="K184" s="219"/>
      <c r="L184" s="219"/>
      <c r="M184" s="219"/>
      <c r="N184" s="219"/>
      <c r="O184" s="219"/>
      <c r="P184" s="219"/>
      <c r="Q184" s="219"/>
      <c r="R184" s="219"/>
      <c r="S184" s="219"/>
      <c r="T184" s="219"/>
      <c r="U184" s="219"/>
      <c r="V184" s="219"/>
      <c r="W184" s="219"/>
      <c r="X184" s="219"/>
      <c r="Y184" s="219"/>
      <c r="Z184" s="219"/>
      <c r="AA184" s="219"/>
    </row>
    <row r="185" spans="3:27" s="217" customFormat="1" x14ac:dyDescent="0.25">
      <c r="C185" s="406"/>
      <c r="E185" s="218"/>
      <c r="F185" s="219"/>
      <c r="G185" s="25" t="s">
        <v>321</v>
      </c>
      <c r="H185" s="223">
        <v>0.5</v>
      </c>
      <c r="I185" s="231"/>
      <c r="J185" s="227"/>
      <c r="K185" s="219"/>
      <c r="L185" s="219"/>
      <c r="M185" s="219"/>
      <c r="N185" s="219"/>
      <c r="O185" s="219"/>
      <c r="P185" s="219"/>
      <c r="Q185" s="219"/>
      <c r="R185" s="219"/>
      <c r="S185" s="219"/>
      <c r="T185" s="219"/>
      <c r="U185" s="219"/>
      <c r="V185" s="219"/>
      <c r="W185" s="219"/>
      <c r="X185" s="219"/>
      <c r="Y185" s="219"/>
      <c r="Z185" s="219"/>
      <c r="AA185" s="219"/>
    </row>
    <row r="186" spans="3:27" s="217" customFormat="1" x14ac:dyDescent="0.25">
      <c r="C186" s="406"/>
      <c r="E186" s="218"/>
      <c r="F186" s="219"/>
      <c r="G186" s="25" t="s">
        <v>323</v>
      </c>
      <c r="H186" s="223">
        <v>0.25</v>
      </c>
      <c r="I186" s="231"/>
      <c r="J186" s="227"/>
      <c r="K186" s="219"/>
      <c r="L186" s="219"/>
      <c r="M186" s="219"/>
      <c r="N186" s="219"/>
      <c r="O186" s="219"/>
      <c r="P186" s="219"/>
      <c r="Q186" s="219"/>
      <c r="R186" s="219"/>
      <c r="S186" s="219"/>
      <c r="T186" s="219"/>
      <c r="U186" s="219"/>
      <c r="V186" s="219"/>
      <c r="W186" s="219"/>
      <c r="X186" s="219"/>
      <c r="Y186" s="219"/>
      <c r="Z186" s="219"/>
      <c r="AA186" s="219"/>
    </row>
    <row r="187" spans="3:27" s="217" customFormat="1" ht="14.4" x14ac:dyDescent="0.3">
      <c r="C187" s="406"/>
      <c r="E187" s="218"/>
      <c r="F187" s="219"/>
      <c r="G187" s="25" t="s">
        <v>322</v>
      </c>
      <c r="H187" s="223">
        <v>0.25</v>
      </c>
      <c r="I187" s="231"/>
      <c r="J187" s="227"/>
      <c r="K187" s="307" t="str">
        <f>IF(SUM(J185:J187)=0,"",IF(SUM(J185:J187)&lt;&gt;100%,"Values do not sum up to 100%",""))</f>
        <v/>
      </c>
      <c r="L187" s="219"/>
      <c r="M187" s="219"/>
      <c r="N187" s="219"/>
      <c r="O187" s="219"/>
      <c r="P187" s="219"/>
      <c r="Q187" s="219"/>
      <c r="R187" s="219"/>
      <c r="S187" s="219"/>
      <c r="T187" s="219"/>
      <c r="U187" s="219"/>
      <c r="V187" s="219"/>
      <c r="W187" s="219"/>
      <c r="X187" s="219"/>
      <c r="Y187" s="219"/>
      <c r="Z187" s="219"/>
      <c r="AA187" s="219"/>
    </row>
    <row r="188" spans="3:27" x14ac:dyDescent="0.25">
      <c r="C188" s="406"/>
    </row>
    <row r="189" spans="3:27" s="14" customFormat="1" x14ac:dyDescent="0.25">
      <c r="C189" s="406"/>
      <c r="E189" s="63"/>
      <c r="F189" s="243" t="s">
        <v>311</v>
      </c>
      <c r="G189" s="244"/>
      <c r="H189" s="245"/>
      <c r="I189" s="245"/>
      <c r="J189" s="245"/>
      <c r="K189" s="245"/>
      <c r="L189" s="245"/>
      <c r="M189" s="245"/>
      <c r="N189" s="245"/>
      <c r="O189" s="245"/>
      <c r="P189" s="245"/>
      <c r="Q189" s="245"/>
      <c r="R189" s="245"/>
      <c r="S189" s="245"/>
      <c r="T189" s="245"/>
      <c r="U189" s="245"/>
      <c r="V189" s="245"/>
      <c r="W189" s="245"/>
      <c r="X189" s="245"/>
      <c r="Y189" s="245"/>
      <c r="Z189" s="245"/>
      <c r="AA189" s="245"/>
    </row>
    <row r="190" spans="3:27" x14ac:dyDescent="0.25">
      <c r="C190" s="406"/>
    </row>
    <row r="191" spans="3:27" ht="14.4" x14ac:dyDescent="0.25">
      <c r="C191" s="406"/>
      <c r="G191" s="2" t="s">
        <v>241</v>
      </c>
      <c r="H191" s="49">
        <f>'VKS PAMATA DATI'!G35</f>
        <v>0</v>
      </c>
      <c r="I191" s="29"/>
      <c r="J191" s="38" t="s">
        <v>202</v>
      </c>
      <c r="K191" s="31"/>
      <c r="L191" s="31"/>
      <c r="M191" s="31"/>
      <c r="N191" s="31"/>
    </row>
    <row r="192" spans="3:27" ht="14.4" x14ac:dyDescent="0.25">
      <c r="C192" s="406"/>
      <c r="G192" s="2" t="s">
        <v>255</v>
      </c>
      <c r="H192" s="49">
        <f>'VKS PAMATA DATI'!G36</f>
        <v>0</v>
      </c>
      <c r="I192" s="29"/>
      <c r="J192" s="1" t="s">
        <v>203</v>
      </c>
      <c r="K192" s="14"/>
      <c r="L192" s="14"/>
      <c r="M192" s="14"/>
      <c r="N192" s="14"/>
    </row>
    <row r="193" spans="3:27" ht="14.4" x14ac:dyDescent="0.25">
      <c r="C193" s="406"/>
      <c r="G193" s="2" t="s">
        <v>242</v>
      </c>
      <c r="H193" s="49">
        <f>'VKS PAMATA DATI'!G37</f>
        <v>0</v>
      </c>
      <c r="I193" s="29"/>
      <c r="J193" s="14" t="s">
        <v>204</v>
      </c>
      <c r="K193" s="14"/>
      <c r="L193" s="14"/>
      <c r="M193" s="14"/>
      <c r="N193" s="14"/>
    </row>
    <row r="194" spans="3:27" x14ac:dyDescent="0.25">
      <c r="C194" s="406"/>
    </row>
    <row r="195" spans="3:27" s="14" customFormat="1" x14ac:dyDescent="0.25">
      <c r="C195" s="406"/>
      <c r="E195" s="63"/>
      <c r="F195" s="243" t="s">
        <v>312</v>
      </c>
      <c r="G195" s="244"/>
      <c r="H195" s="245"/>
      <c r="I195" s="245"/>
      <c r="J195" s="245"/>
      <c r="K195" s="245"/>
      <c r="L195" s="245"/>
      <c r="M195" s="245"/>
      <c r="N195" s="245"/>
      <c r="O195" s="245"/>
      <c r="P195" s="245"/>
      <c r="Q195" s="245"/>
      <c r="R195" s="245"/>
      <c r="S195" s="245"/>
      <c r="T195" s="245"/>
      <c r="U195" s="245"/>
      <c r="V195" s="245"/>
      <c r="W195" s="245"/>
      <c r="X195" s="245"/>
      <c r="Y195" s="245"/>
      <c r="Z195" s="245"/>
      <c r="AA195" s="245"/>
    </row>
    <row r="196" spans="3:27" x14ac:dyDescent="0.25">
      <c r="C196" s="406"/>
    </row>
    <row r="197" spans="3:27" ht="41.4" x14ac:dyDescent="0.25">
      <c r="C197" s="406"/>
      <c r="G197" s="14"/>
      <c r="H197" s="404" t="s">
        <v>215</v>
      </c>
      <c r="I197" s="404"/>
      <c r="J197" s="404"/>
      <c r="K197" s="8" t="s">
        <v>216</v>
      </c>
      <c r="L197" s="8" t="s">
        <v>240</v>
      </c>
      <c r="M197" s="8" t="s">
        <v>256</v>
      </c>
    </row>
    <row r="198" spans="3:27" x14ac:dyDescent="0.25">
      <c r="C198" s="406"/>
      <c r="G198" s="2" t="s">
        <v>205</v>
      </c>
      <c r="H198" s="403" t="str">
        <f>IF('VKS PAMATA DATI'!J41=0,"",'VKS PAMATA DATI'!J41)</f>
        <v/>
      </c>
      <c r="I198" s="403"/>
      <c r="J198" s="403"/>
      <c r="K198" s="256" t="str">
        <f>IF('VKS PAMATA DATI'!Q41=0,"",'VKS PAMATA DATI'!Q41)</f>
        <v/>
      </c>
      <c r="L198" s="256" t="str">
        <f>IF('VKS PAMATA DATI'!R41=0,"",'VKS PAMATA DATI'!R41)</f>
        <v/>
      </c>
      <c r="M198" s="256" t="str">
        <f>IF('VKS PAMATA DATI'!S41=0,"",'VKS PAMATA DATI'!S41)</f>
        <v/>
      </c>
    </row>
    <row r="199" spans="3:27" x14ac:dyDescent="0.25">
      <c r="C199" s="406"/>
      <c r="G199" s="2" t="s">
        <v>206</v>
      </c>
      <c r="H199" s="403" t="str">
        <f>IF('VKS PAMATA DATI'!J42=0,"",'VKS PAMATA DATI'!J42)</f>
        <v/>
      </c>
      <c r="I199" s="403"/>
      <c r="J199" s="403"/>
      <c r="K199" s="256" t="str">
        <f>IF('VKS PAMATA DATI'!Q42=0,"",'VKS PAMATA DATI'!Q42)</f>
        <v/>
      </c>
      <c r="L199" s="256" t="str">
        <f>IF('VKS PAMATA DATI'!R42=0,"",'VKS PAMATA DATI'!R42)</f>
        <v/>
      </c>
      <c r="M199" s="256" t="str">
        <f>IF('VKS PAMATA DATI'!S42=0,"",'VKS PAMATA DATI'!S42)</f>
        <v/>
      </c>
    </row>
    <row r="200" spans="3:27" s="14" customFormat="1" x14ac:dyDescent="0.25">
      <c r="C200" s="406"/>
      <c r="E200" s="63"/>
      <c r="F200" s="1"/>
      <c r="G200" s="2" t="s">
        <v>207</v>
      </c>
      <c r="H200" s="403" t="str">
        <f>IF('VKS PAMATA DATI'!J43=0,"",'VKS PAMATA DATI'!J43)</f>
        <v/>
      </c>
      <c r="I200" s="403"/>
      <c r="J200" s="403"/>
      <c r="K200" s="256" t="str">
        <f>IF('VKS PAMATA DATI'!Q43=0,"",'VKS PAMATA DATI'!Q43)</f>
        <v/>
      </c>
      <c r="L200" s="256" t="str">
        <f>IF('VKS PAMATA DATI'!R43=0,"",'VKS PAMATA DATI'!R43)</f>
        <v/>
      </c>
      <c r="M200" s="256" t="str">
        <f>IF('VKS PAMATA DATI'!S43=0,"",'VKS PAMATA DATI'!S43)</f>
        <v/>
      </c>
    </row>
    <row r="201" spans="3:27" ht="14.4" x14ac:dyDescent="0.25">
      <c r="C201" s="406"/>
      <c r="F201" s="104"/>
      <c r="G201" s="2" t="s">
        <v>208</v>
      </c>
      <c r="H201" s="403" t="str">
        <f>IF('VKS PAMATA DATI'!J44=0,"",'VKS PAMATA DATI'!J44)</f>
        <v/>
      </c>
      <c r="I201" s="403"/>
      <c r="J201" s="403"/>
      <c r="K201" s="256" t="str">
        <f>IF('VKS PAMATA DATI'!Q44=0,"",'VKS PAMATA DATI'!Q44)</f>
        <v/>
      </c>
      <c r="L201" s="256" t="str">
        <f>IF('VKS PAMATA DATI'!R44=0,"",'VKS PAMATA DATI'!R44)</f>
        <v/>
      </c>
      <c r="M201" s="256" t="str">
        <f>IF('VKS PAMATA DATI'!S44=0,"",'VKS PAMATA DATI'!S44)</f>
        <v/>
      </c>
      <c r="N201" s="29"/>
    </row>
    <row r="202" spans="3:27" ht="14.4" x14ac:dyDescent="0.25">
      <c r="C202" s="406"/>
      <c r="F202" s="104"/>
      <c r="G202" s="2" t="s">
        <v>209</v>
      </c>
      <c r="H202" s="403" t="str">
        <f>IF('VKS PAMATA DATI'!J45=0,"",'VKS PAMATA DATI'!J45)</f>
        <v/>
      </c>
      <c r="I202" s="403"/>
      <c r="J202" s="403"/>
      <c r="K202" s="256" t="str">
        <f>IF('VKS PAMATA DATI'!Q45=0,"",'VKS PAMATA DATI'!Q45)</f>
        <v/>
      </c>
      <c r="L202" s="256" t="str">
        <f>IF('VKS PAMATA DATI'!R45=0,"",'VKS PAMATA DATI'!R45)</f>
        <v/>
      </c>
      <c r="M202" s="256" t="str">
        <f>IF('VKS PAMATA DATI'!S45=0,"",'VKS PAMATA DATI'!S45)</f>
        <v/>
      </c>
      <c r="N202" s="29"/>
    </row>
    <row r="203" spans="3:27" ht="14.4" x14ac:dyDescent="0.25">
      <c r="C203" s="406"/>
      <c r="F203" s="104"/>
      <c r="G203" s="2" t="s">
        <v>210</v>
      </c>
      <c r="H203" s="403" t="str">
        <f>IF('VKS PAMATA DATI'!J46=0,"",'VKS PAMATA DATI'!J46)</f>
        <v/>
      </c>
      <c r="I203" s="403"/>
      <c r="J203" s="403"/>
      <c r="K203" s="256" t="str">
        <f>IF('VKS PAMATA DATI'!Q46=0,"",'VKS PAMATA DATI'!Q46)</f>
        <v/>
      </c>
      <c r="L203" s="256" t="str">
        <f>IF('VKS PAMATA DATI'!R46=0,"",'VKS PAMATA DATI'!R46)</f>
        <v/>
      </c>
      <c r="M203" s="256" t="str">
        <f>IF('VKS PAMATA DATI'!S46=0,"",'VKS PAMATA DATI'!S46)</f>
        <v/>
      </c>
      <c r="N203" s="29"/>
    </row>
    <row r="204" spans="3:27" ht="14.4" x14ac:dyDescent="0.25">
      <c r="C204" s="406"/>
      <c r="G204" s="2" t="s">
        <v>211</v>
      </c>
      <c r="H204" s="403" t="str">
        <f>IF('VKS PAMATA DATI'!J47=0,"",'VKS PAMATA DATI'!J47)</f>
        <v/>
      </c>
      <c r="I204" s="403"/>
      <c r="J204" s="403"/>
      <c r="K204" s="256" t="str">
        <f>IF('VKS PAMATA DATI'!Q47=0,"",'VKS PAMATA DATI'!Q47)</f>
        <v/>
      </c>
      <c r="L204" s="256" t="str">
        <f>IF('VKS PAMATA DATI'!R47=0,"",'VKS PAMATA DATI'!R47)</f>
        <v/>
      </c>
      <c r="M204" s="256" t="str">
        <f>IF('VKS PAMATA DATI'!S47=0,"",'VKS PAMATA DATI'!S47)</f>
        <v/>
      </c>
      <c r="N204" s="29"/>
    </row>
    <row r="205" spans="3:27" ht="14.4" x14ac:dyDescent="0.25">
      <c r="C205" s="406"/>
      <c r="G205" s="2" t="s">
        <v>212</v>
      </c>
      <c r="H205" s="403" t="str">
        <f>IF('VKS PAMATA DATI'!J48=0,"",'VKS PAMATA DATI'!J48)</f>
        <v/>
      </c>
      <c r="I205" s="403"/>
      <c r="J205" s="403"/>
      <c r="K205" s="256" t="str">
        <f>IF('VKS PAMATA DATI'!Q48=0,"",'VKS PAMATA DATI'!Q48)</f>
        <v/>
      </c>
      <c r="L205" s="256" t="str">
        <f>IF('VKS PAMATA DATI'!R48=0,"",'VKS PAMATA DATI'!R48)</f>
        <v/>
      </c>
      <c r="M205" s="256" t="str">
        <f>IF('VKS PAMATA DATI'!S48=0,"",'VKS PAMATA DATI'!S48)</f>
        <v/>
      </c>
      <c r="N205" s="29"/>
    </row>
    <row r="206" spans="3:27" ht="14.4" x14ac:dyDescent="0.25">
      <c r="C206" s="406"/>
      <c r="G206" s="2" t="s">
        <v>213</v>
      </c>
      <c r="H206" s="403" t="str">
        <f>IF('VKS PAMATA DATI'!J49=0,"",'VKS PAMATA DATI'!J49)</f>
        <v/>
      </c>
      <c r="I206" s="403"/>
      <c r="J206" s="403"/>
      <c r="K206" s="256" t="str">
        <f>IF('VKS PAMATA DATI'!Q49=0,"",'VKS PAMATA DATI'!Q49)</f>
        <v/>
      </c>
      <c r="L206" s="256" t="str">
        <f>IF('VKS PAMATA DATI'!R49=0,"",'VKS PAMATA DATI'!R49)</f>
        <v/>
      </c>
      <c r="M206" s="256" t="str">
        <f>IF('VKS PAMATA DATI'!S49=0,"",'VKS PAMATA DATI'!S49)</f>
        <v/>
      </c>
      <c r="N206" s="37"/>
    </row>
    <row r="207" spans="3:27" ht="14.4" x14ac:dyDescent="0.25">
      <c r="C207" s="406"/>
      <c r="G207" s="2" t="s">
        <v>214</v>
      </c>
      <c r="H207" s="403" t="str">
        <f>IF('VKS PAMATA DATI'!J50=0,"",'VKS PAMATA DATI'!J50)</f>
        <v/>
      </c>
      <c r="I207" s="403"/>
      <c r="J207" s="403"/>
      <c r="K207" s="256" t="str">
        <f>IF('VKS PAMATA DATI'!Q50=0,"",'VKS PAMATA DATI'!Q50)</f>
        <v/>
      </c>
      <c r="L207" s="256" t="str">
        <f>IF('VKS PAMATA DATI'!R50=0,"",'VKS PAMATA DATI'!R50)</f>
        <v/>
      </c>
      <c r="M207" s="256" t="str">
        <f>IF('VKS PAMATA DATI'!S50=0,"",'VKS PAMATA DATI'!S50)</f>
        <v/>
      </c>
      <c r="N207" s="37"/>
    </row>
    <row r="208" spans="3:27" ht="14.4" x14ac:dyDescent="0.25">
      <c r="C208" s="406"/>
      <c r="G208" s="2" t="s">
        <v>291</v>
      </c>
      <c r="H208" s="403" t="str">
        <f>IF('VKS PAMATA DATI'!J51=0,"",'VKS PAMATA DATI'!J51)</f>
        <v/>
      </c>
      <c r="I208" s="403"/>
      <c r="J208" s="403"/>
      <c r="K208" s="256" t="str">
        <f>IF('VKS PAMATA DATI'!Q51=0,"",'VKS PAMATA DATI'!Q51)</f>
        <v/>
      </c>
      <c r="L208" s="256" t="str">
        <f>IF('VKS PAMATA DATI'!R51=0,"",'VKS PAMATA DATI'!R51)</f>
        <v/>
      </c>
      <c r="M208" s="256" t="str">
        <f>IF('VKS PAMATA DATI'!S51=0,"",'VKS PAMATA DATI'!S51)</f>
        <v/>
      </c>
      <c r="N208" s="37"/>
    </row>
    <row r="209" spans="1:27" ht="14.4" x14ac:dyDescent="0.25">
      <c r="C209" s="406"/>
      <c r="G209" s="2" t="s">
        <v>292</v>
      </c>
      <c r="H209" s="403" t="str">
        <f>IF('VKS PAMATA DATI'!J52=0,"",'VKS PAMATA DATI'!J52)</f>
        <v/>
      </c>
      <c r="I209" s="403"/>
      <c r="J209" s="403"/>
      <c r="K209" s="256" t="str">
        <f>IF('VKS PAMATA DATI'!Q52=0,"",'VKS PAMATA DATI'!Q52)</f>
        <v/>
      </c>
      <c r="L209" s="256" t="str">
        <f>IF('VKS PAMATA DATI'!R52=0,"",'VKS PAMATA DATI'!R52)</f>
        <v/>
      </c>
      <c r="M209" s="256" t="str">
        <f>IF('VKS PAMATA DATI'!S52=0,"",'VKS PAMATA DATI'!S52)</f>
        <v/>
      </c>
      <c r="N209" s="37"/>
    </row>
    <row r="210" spans="1:27" ht="14.4" x14ac:dyDescent="0.25">
      <c r="C210" s="406"/>
      <c r="G210" s="2" t="s">
        <v>293</v>
      </c>
      <c r="H210" s="403" t="str">
        <f>IF('VKS PAMATA DATI'!J53=0,"",'VKS PAMATA DATI'!J53)</f>
        <v/>
      </c>
      <c r="I210" s="403"/>
      <c r="J210" s="403"/>
      <c r="K210" s="256" t="str">
        <f>IF('VKS PAMATA DATI'!Q53=0,"",'VKS PAMATA DATI'!Q53)</f>
        <v/>
      </c>
      <c r="L210" s="256" t="str">
        <f>IF('VKS PAMATA DATI'!R53=0,"",'VKS PAMATA DATI'!R53)</f>
        <v/>
      </c>
      <c r="M210" s="256" t="str">
        <f>IF('VKS PAMATA DATI'!S53=0,"",'VKS PAMATA DATI'!S53)</f>
        <v/>
      </c>
      <c r="N210" s="37"/>
    </row>
    <row r="211" spans="1:27" ht="14.4" x14ac:dyDescent="0.25">
      <c r="C211" s="406"/>
      <c r="G211" s="2" t="s">
        <v>294</v>
      </c>
      <c r="H211" s="403" t="str">
        <f>IF('VKS PAMATA DATI'!J54=0,"",'VKS PAMATA DATI'!J54)</f>
        <v/>
      </c>
      <c r="I211" s="403"/>
      <c r="J211" s="403"/>
      <c r="K211" s="256" t="str">
        <f>IF('VKS PAMATA DATI'!Q54=0,"",'VKS PAMATA DATI'!Q54)</f>
        <v/>
      </c>
      <c r="L211" s="256" t="str">
        <f>IF('VKS PAMATA DATI'!R54=0,"",'VKS PAMATA DATI'!R54)</f>
        <v/>
      </c>
      <c r="M211" s="256" t="str">
        <f>IF('VKS PAMATA DATI'!S54=0,"",'VKS PAMATA DATI'!S54)</f>
        <v/>
      </c>
      <c r="N211" s="37"/>
    </row>
    <row r="212" spans="1:27" ht="14.4" x14ac:dyDescent="0.25">
      <c r="C212" s="406"/>
      <c r="G212" s="2" t="s">
        <v>295</v>
      </c>
      <c r="H212" s="403" t="str">
        <f>IF('VKS PAMATA DATI'!J55=0,"",'VKS PAMATA DATI'!J55)</f>
        <v/>
      </c>
      <c r="I212" s="403"/>
      <c r="J212" s="403"/>
      <c r="K212" s="256" t="str">
        <f>IF('VKS PAMATA DATI'!Q55=0,"",'VKS PAMATA DATI'!Q55)</f>
        <v/>
      </c>
      <c r="L212" s="256" t="str">
        <f>IF('VKS PAMATA DATI'!R55=0,"",'VKS PAMATA DATI'!R55)</f>
        <v/>
      </c>
      <c r="M212" s="256" t="str">
        <f>IF('VKS PAMATA DATI'!S55=0,"",'VKS PAMATA DATI'!S55)</f>
        <v/>
      </c>
      <c r="N212" s="37"/>
    </row>
    <row r="213" spans="1:27" ht="14.4" x14ac:dyDescent="0.25">
      <c r="C213" s="406"/>
      <c r="G213" s="108"/>
      <c r="H213" s="122"/>
      <c r="J213" s="122" t="s">
        <v>316</v>
      </c>
      <c r="K213" s="257" t="str">
        <f>IFERROR(MEDIAN(K198:K212),"0")</f>
        <v>0</v>
      </c>
      <c r="L213" s="257" t="str">
        <f>IFERROR(MEDIAN(L198:L212),"0")</f>
        <v>0</v>
      </c>
      <c r="M213" s="257" t="str">
        <f>IFERROR(MEDIAN(M198:M212),"0")</f>
        <v>0</v>
      </c>
      <c r="N213" s="37"/>
    </row>
    <row r="214" spans="1:27" ht="14.4" x14ac:dyDescent="0.25">
      <c r="C214" s="406"/>
      <c r="N214" s="37"/>
    </row>
    <row r="215" spans="1:27" s="14" customFormat="1" x14ac:dyDescent="0.25">
      <c r="C215" s="406"/>
      <c r="E215" s="63"/>
      <c r="F215" s="243" t="s">
        <v>333</v>
      </c>
      <c r="G215" s="244"/>
      <c r="H215" s="245"/>
      <c r="I215" s="245"/>
      <c r="J215" s="245"/>
      <c r="K215" s="245"/>
      <c r="L215" s="245"/>
      <c r="M215" s="245"/>
      <c r="N215" s="245"/>
      <c r="O215" s="245"/>
      <c r="P215" s="245"/>
      <c r="Q215" s="245"/>
      <c r="R215" s="245"/>
      <c r="S215" s="245"/>
      <c r="T215" s="245"/>
      <c r="U215" s="245"/>
      <c r="V215" s="245"/>
      <c r="W215" s="245"/>
      <c r="X215" s="245"/>
      <c r="Y215" s="245"/>
      <c r="Z215" s="245"/>
      <c r="AA215" s="245"/>
    </row>
    <row r="216" spans="1:27" s="105" customFormat="1" x14ac:dyDescent="0.25">
      <c r="C216" s="406"/>
      <c r="E216" s="106"/>
      <c r="H216" s="107"/>
      <c r="I216" s="108"/>
      <c r="J216" s="122"/>
      <c r="K216" s="122"/>
      <c r="L216" s="122"/>
      <c r="M216" s="122"/>
    </row>
    <row r="217" spans="1:27" x14ac:dyDescent="0.25">
      <c r="C217" s="406"/>
      <c r="F217" s="232"/>
      <c r="G217" s="233" t="s">
        <v>331</v>
      </c>
      <c r="H217" s="49">
        <f>IFERROR(IF(H169="Suggested",H185*H191+H186*H192+H187*H193,J185*H191+J186*H192+J187*H193),"")</f>
        <v>0</v>
      </c>
    </row>
    <row r="218" spans="1:27" x14ac:dyDescent="0.25">
      <c r="C218" s="406"/>
      <c r="F218" s="232"/>
      <c r="G218" s="233" t="s">
        <v>332</v>
      </c>
      <c r="H218" s="49" t="str">
        <f>IFERROR(AVERAGE(K213:M213),"")</f>
        <v/>
      </c>
    </row>
    <row r="219" spans="1:27" x14ac:dyDescent="0.25">
      <c r="C219" s="406"/>
      <c r="G219" s="2" t="s">
        <v>270</v>
      </c>
      <c r="H219" s="49" t="str">
        <f>IFERROR(IF(H169="Suggested",IF(AND(H170&gt;0,H170&lt;6),(H217*H174+H218*H175),IF(H170&lt;11,(H217*H178+H218*H179),(H217*H182+H218*H183))),IF(AND(H170&gt;0,H170&lt;6),(H217*J174+H218*J175),IF(H170&lt;11,(H217*J178+H218*J179),(H217*J182+H218*J183)))),"")</f>
        <v/>
      </c>
    </row>
    <row r="220" spans="1:27" x14ac:dyDescent="0.25">
      <c r="A220" s="1" t="s">
        <v>235</v>
      </c>
      <c r="F220" s="31"/>
      <c r="G220" s="31"/>
      <c r="H220" s="36"/>
      <c r="I220" s="31"/>
      <c r="J220" s="31"/>
      <c r="K220" s="36"/>
      <c r="L220" s="31"/>
      <c r="M220" s="31"/>
      <c r="N220" s="31"/>
      <c r="O220" s="31"/>
      <c r="P220" s="31"/>
      <c r="Q220" s="31"/>
      <c r="R220" s="31"/>
      <c r="S220" s="31"/>
      <c r="T220" s="31"/>
      <c r="U220" s="31"/>
      <c r="V220" s="31"/>
      <c r="W220" s="31"/>
      <c r="X220" s="31"/>
      <c r="Y220" s="31"/>
      <c r="Z220" s="31"/>
      <c r="AA220" s="31"/>
    </row>
    <row r="221" spans="1:27" x14ac:dyDescent="0.25">
      <c r="K221" s="3"/>
    </row>
  </sheetData>
  <mergeCells count="60">
    <mergeCell ref="H60:J60"/>
    <mergeCell ref="H61:J61"/>
    <mergeCell ref="H62:J62"/>
    <mergeCell ref="H123:J123"/>
    <mergeCell ref="B2:C2"/>
    <mergeCell ref="B3:C3"/>
    <mergeCell ref="B4:C4"/>
    <mergeCell ref="C8:C72"/>
    <mergeCell ref="C76:C151"/>
    <mergeCell ref="H124:J124"/>
    <mergeCell ref="H125:J125"/>
    <mergeCell ref="H126:J126"/>
    <mergeCell ref="H127:J127"/>
    <mergeCell ref="H91:J91"/>
    <mergeCell ref="H92:J92"/>
    <mergeCell ref="H120:J120"/>
    <mergeCell ref="C155:C219"/>
    <mergeCell ref="H169:J169"/>
    <mergeCell ref="H170:J170"/>
    <mergeCell ref="H197:J197"/>
    <mergeCell ref="H198:J198"/>
    <mergeCell ref="H199:J199"/>
    <mergeCell ref="H200:J200"/>
    <mergeCell ref="H201:J201"/>
    <mergeCell ref="H202:J202"/>
    <mergeCell ref="H203:J203"/>
    <mergeCell ref="H204:J204"/>
    <mergeCell ref="H205:J205"/>
    <mergeCell ref="H206:J206"/>
    <mergeCell ref="H209:J209"/>
    <mergeCell ref="H210:J210"/>
    <mergeCell ref="H211:J211"/>
    <mergeCell ref="H64:J64"/>
    <mergeCell ref="H65:J65"/>
    <mergeCell ref="H207:J207"/>
    <mergeCell ref="H208:J208"/>
    <mergeCell ref="H128:J128"/>
    <mergeCell ref="H129:J129"/>
    <mergeCell ref="H130:J130"/>
    <mergeCell ref="H131:J131"/>
    <mergeCell ref="H132:J132"/>
    <mergeCell ref="H133:J133"/>
    <mergeCell ref="H134:J134"/>
    <mergeCell ref="H135:J135"/>
    <mergeCell ref="H212:J212"/>
    <mergeCell ref="H22:J22"/>
    <mergeCell ref="H23:J23"/>
    <mergeCell ref="H50:J50"/>
    <mergeCell ref="H51:J51"/>
    <mergeCell ref="H52:J52"/>
    <mergeCell ref="H53:J53"/>
    <mergeCell ref="H54:J54"/>
    <mergeCell ref="H55:J55"/>
    <mergeCell ref="H56:J56"/>
    <mergeCell ref="H57:J57"/>
    <mergeCell ref="H58:J58"/>
    <mergeCell ref="H59:J59"/>
    <mergeCell ref="H121:J121"/>
    <mergeCell ref="H122:J122"/>
    <mergeCell ref="H63:J63"/>
  </mergeCells>
  <phoneticPr fontId="2" type="noConversion"/>
  <conditionalFormatting sqref="H25 H27:H28 H31:H32 H35:H36 H38:H40">
    <cfRule type="expression" dxfId="38" priority="8">
      <formula>$H$22="Discretionary"</formula>
    </cfRule>
  </conditionalFormatting>
  <conditionalFormatting sqref="H94 H96:H97 H100:H101 H104:H105 H107:H109">
    <cfRule type="expression" dxfId="37" priority="4">
      <formula>$H$91="Discretionary"</formula>
    </cfRule>
  </conditionalFormatting>
  <conditionalFormatting sqref="H172 H174:H175 H178:H179 H182:H183 H185:H187">
    <cfRule type="expression" dxfId="36" priority="1">
      <formula>$H$169="Discretionary"</formula>
    </cfRule>
  </conditionalFormatting>
  <conditionalFormatting sqref="J25 J27 J31 J35 J38:J40">
    <cfRule type="expression" dxfId="35" priority="10">
      <formula>$H$22="Discretionary"</formula>
    </cfRule>
  </conditionalFormatting>
  <conditionalFormatting sqref="J28 J32 J36">
    <cfRule type="expression" dxfId="34" priority="9">
      <formula>$H$22="Discretionary"</formula>
    </cfRule>
  </conditionalFormatting>
  <conditionalFormatting sqref="J94 J96 J100 J104 J107:J109">
    <cfRule type="expression" dxfId="33" priority="6">
      <formula>$H$91="Discretionary"</formula>
    </cfRule>
  </conditionalFormatting>
  <conditionalFormatting sqref="J97 J101 J105">
    <cfRule type="expression" dxfId="32" priority="5">
      <formula>$H$91="Discretionary"</formula>
    </cfRule>
  </conditionalFormatting>
  <conditionalFormatting sqref="J172 J174 J178 J182 J185:J187">
    <cfRule type="expression" dxfId="31" priority="3">
      <formula>$H$169="Discretionary"</formula>
    </cfRule>
  </conditionalFormatting>
  <conditionalFormatting sqref="J175 J179 J183">
    <cfRule type="expression" dxfId="30" priority="2">
      <formula>$H$169="Discretionary"</formula>
    </cfRule>
  </conditionalFormatting>
  <hyperlinks>
    <hyperlink ref="B4" location="'SOE DETAILS'!A1" display="SOE DETAILS" xr:uid="{6CB3D8DE-EEC0-4F9A-B7E1-872E9040CEFE}"/>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7310272-0F8E-4583-8EED-55EB9621299B}">
          <x14:formula1>
            <xm:f>'VKS PAMATA DATI'!$AG$5:$AG$7</xm:f>
          </x14:formula1>
          <xm:sqref>H22 H91 H169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B09D4-026F-45C2-8A79-0ED1FEF62A46}">
  <sheetPr codeName="Sheet25">
    <tabColor theme="5" tint="-0.249977111117893"/>
  </sheetPr>
  <dimension ref="B2:AA33"/>
  <sheetViews>
    <sheetView showGridLines="0" zoomScale="85" zoomScaleNormal="85" workbookViewId="0">
      <selection activeCell="J30" sqref="J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71.5546875" style="1" customWidth="1"/>
    <col min="7" max="16" width="9.21875" style="1"/>
    <col min="17" max="20" width="13.77734375" style="1" customWidth="1"/>
    <col min="21" max="24" width="9.21875" style="1"/>
    <col min="25" max="25" width="9.44140625" style="1" bestFit="1" customWidth="1"/>
    <col min="26" max="16384" width="9.21875" style="1"/>
  </cols>
  <sheetData>
    <row r="2" spans="2:27" x14ac:dyDescent="0.25">
      <c r="B2" s="374" t="s">
        <v>191</v>
      </c>
      <c r="C2" s="374"/>
      <c r="F2" s="21" t="s">
        <v>195</v>
      </c>
      <c r="G2" s="22"/>
      <c r="H2" s="22"/>
      <c r="I2" s="22"/>
      <c r="J2" s="22"/>
      <c r="K2" s="22"/>
      <c r="L2" s="22"/>
      <c r="M2" s="22"/>
      <c r="N2" s="22"/>
      <c r="O2" s="22"/>
      <c r="P2" s="22"/>
      <c r="Q2" s="22"/>
      <c r="R2" s="22"/>
      <c r="S2" s="22"/>
      <c r="T2" s="22"/>
      <c r="U2" s="22"/>
      <c r="V2" s="22"/>
      <c r="W2" s="22"/>
      <c r="X2" s="22"/>
      <c r="Y2" s="22"/>
      <c r="Z2" s="22"/>
      <c r="AA2" s="22"/>
    </row>
    <row r="3" spans="2:27" x14ac:dyDescent="0.25">
      <c r="B3" s="375" t="s">
        <v>192</v>
      </c>
      <c r="C3" s="375"/>
      <c r="F3" s="19" t="s">
        <v>369</v>
      </c>
      <c r="G3" s="20"/>
      <c r="H3" s="20"/>
      <c r="I3" s="20"/>
      <c r="J3" s="20"/>
      <c r="K3" s="20"/>
      <c r="L3" s="20"/>
      <c r="M3" s="20"/>
      <c r="N3" s="20"/>
      <c r="O3" s="20"/>
      <c r="P3" s="20"/>
      <c r="Q3" s="20"/>
      <c r="R3" s="20"/>
      <c r="S3" s="20"/>
      <c r="T3" s="20"/>
      <c r="U3" s="20"/>
      <c r="V3" s="20"/>
      <c r="W3" s="20"/>
      <c r="X3" s="20"/>
      <c r="Y3" s="20"/>
      <c r="Z3" s="20"/>
      <c r="AA3" s="20"/>
    </row>
    <row r="4" spans="2:27" ht="20.399999999999999" x14ac:dyDescent="0.25">
      <c r="B4" s="398" t="s">
        <v>189</v>
      </c>
      <c r="C4" s="398"/>
      <c r="F4" s="23" t="s">
        <v>179</v>
      </c>
      <c r="G4" s="24"/>
      <c r="H4" s="24"/>
      <c r="I4" s="24"/>
      <c r="J4" s="24"/>
      <c r="K4" s="24"/>
      <c r="L4" s="24"/>
      <c r="M4" s="24"/>
      <c r="N4" s="24"/>
      <c r="O4" s="24"/>
      <c r="P4" s="24"/>
      <c r="Q4" s="24"/>
      <c r="R4" s="24"/>
      <c r="S4" s="24"/>
      <c r="T4" s="24"/>
      <c r="U4" s="24"/>
      <c r="V4" s="24"/>
      <c r="W4" s="24"/>
      <c r="X4" s="24"/>
      <c r="Y4" s="24"/>
      <c r="Z4" s="24"/>
      <c r="AA4" s="24"/>
    </row>
    <row r="6" spans="2:27" x14ac:dyDescent="0.25">
      <c r="F6" s="25" t="s">
        <v>257</v>
      </c>
      <c r="G6" s="276" t="str">
        <f>'SD_BM (f)'!H72</f>
        <v/>
      </c>
      <c r="H6" s="44" t="s">
        <v>451</v>
      </c>
    </row>
    <row r="7" spans="2:27" ht="15" customHeight="1" x14ac:dyDescent="0.25">
      <c r="F7" s="2"/>
      <c r="G7" s="14"/>
      <c r="H7" s="14"/>
      <c r="N7" s="14"/>
      <c r="O7" s="14"/>
    </row>
    <row r="8" spans="2:27" ht="15" customHeight="1" x14ac:dyDescent="0.25">
      <c r="F8" s="2"/>
      <c r="J8" s="14"/>
      <c r="K8" s="65" t="s">
        <v>251</v>
      </c>
      <c r="L8" s="65"/>
      <c r="M8" s="65"/>
      <c r="N8" s="114"/>
      <c r="O8" s="14"/>
    </row>
    <row r="9" spans="2:27" ht="15" customHeight="1" x14ac:dyDescent="0.25">
      <c r="F9" s="2"/>
      <c r="G9" s="3" t="s">
        <v>349</v>
      </c>
      <c r="H9" s="3" t="s">
        <v>348</v>
      </c>
      <c r="I9" s="3" t="s">
        <v>347</v>
      </c>
      <c r="J9" s="291" t="s">
        <v>178</v>
      </c>
      <c r="K9" s="115" t="s">
        <v>247</v>
      </c>
      <c r="L9" s="115" t="s">
        <v>248</v>
      </c>
      <c r="M9" s="115" t="s">
        <v>249</v>
      </c>
      <c r="N9" s="115" t="s">
        <v>250</v>
      </c>
      <c r="O9" s="27" t="s">
        <v>246</v>
      </c>
      <c r="W9" s="52" t="s">
        <v>239</v>
      </c>
      <c r="X9" s="14"/>
      <c r="Y9" s="14"/>
      <c r="Z9" s="14"/>
      <c r="AA9" s="14"/>
    </row>
    <row r="10" spans="2:27" ht="14.25" customHeight="1" x14ac:dyDescent="0.25">
      <c r="F10" s="2" t="s">
        <v>318</v>
      </c>
      <c r="G10" s="266">
        <f>'VKS PAMATA DATI'!N13</f>
        <v>0</v>
      </c>
      <c r="H10" s="266">
        <f>'VKS PAMATA DATI'!M13</f>
        <v>0</v>
      </c>
      <c r="I10" s="266">
        <f>'VKS PAMATA DATI'!L13</f>
        <v>0</v>
      </c>
      <c r="J10" s="266">
        <f>'VKS PAMATA DATI'!K13</f>
        <v>0</v>
      </c>
      <c r="K10" s="123"/>
      <c r="L10" s="123"/>
      <c r="M10" s="123"/>
      <c r="N10" s="123"/>
      <c r="O10" s="308" t="str">
        <f>O11</f>
        <v/>
      </c>
      <c r="Q10" s="379" t="s">
        <v>442</v>
      </c>
      <c r="R10" s="379"/>
      <c r="S10" s="379"/>
      <c r="T10" s="379"/>
      <c r="U10" s="379"/>
      <c r="W10" s="75" t="s">
        <v>237</v>
      </c>
      <c r="X10" s="76">
        <f>ROUNDDOWN(MIN(G10:O14),2)</f>
        <v>0</v>
      </c>
      <c r="Y10" s="77" t="e" cm="1">
        <f t="array" aca="1" ref="Y10" ca="1">setChartAxis("SD_CS (f)","Chart SD_CS1","Min","Value","Primary",X10)</f>
        <v>#NAME?</v>
      </c>
      <c r="Z10" s="77"/>
      <c r="AA10" s="78"/>
    </row>
    <row r="11" spans="2:27" x14ac:dyDescent="0.25">
      <c r="F11" s="2" t="s">
        <v>368</v>
      </c>
      <c r="G11" s="266"/>
      <c r="H11" s="266"/>
      <c r="I11" s="266"/>
      <c r="J11" s="266">
        <f>'VKS PAMATA DATI'!K13</f>
        <v>0</v>
      </c>
      <c r="K11" s="279" t="str">
        <f>IFERROR(J11-($J$11-$O$12)/5,"")</f>
        <v/>
      </c>
      <c r="L11" s="279" t="str">
        <f>IFERROR(K11-($J$11-$O$12)/5,"")</f>
        <v/>
      </c>
      <c r="M11" s="279" t="str">
        <f>IFERROR(L11-($J$11-$O$12)/5,"")</f>
        <v/>
      </c>
      <c r="N11" s="279" t="str">
        <f>IFERROR(M11-($J$11-$O$12)/5,"")</f>
        <v/>
      </c>
      <c r="O11" s="308" t="str">
        <f>O12</f>
        <v/>
      </c>
      <c r="Q11" s="379"/>
      <c r="R11" s="379"/>
      <c r="S11" s="379"/>
      <c r="T11" s="379"/>
      <c r="U11" s="379"/>
      <c r="W11" s="79" t="s">
        <v>238</v>
      </c>
      <c r="X11" s="80">
        <f>ROUNDUP(MAX(G10:O14),2)</f>
        <v>0</v>
      </c>
      <c r="Y11" s="81" t="e" cm="1">
        <f t="array" aca="1" ref="Y11" ca="1">setChartAxis("SD_CS (f)","Chart SD_CS1","Max","Value","Primary",X11)</f>
        <v>#NAME?</v>
      </c>
      <c r="Z11" s="81"/>
      <c r="AA11" s="82"/>
    </row>
    <row r="12" spans="2:27" x14ac:dyDescent="0.25">
      <c r="F12" s="116" t="str">
        <f>H6</f>
        <v>Benchmark value CY+5</v>
      </c>
      <c r="G12" s="273"/>
      <c r="H12" s="273"/>
      <c r="I12" s="273"/>
      <c r="J12" s="273"/>
      <c r="K12" s="273"/>
      <c r="L12" s="273"/>
      <c r="M12" s="273"/>
      <c r="N12" s="273"/>
      <c r="O12" s="274" t="str">
        <f>G6</f>
        <v/>
      </c>
      <c r="Q12" s="379"/>
      <c r="R12" s="379"/>
      <c r="S12" s="379"/>
      <c r="T12" s="379"/>
      <c r="U12" s="379"/>
    </row>
    <row r="13" spans="2:27" x14ac:dyDescent="0.25">
      <c r="F13" s="25" t="s">
        <v>350</v>
      </c>
      <c r="G13" s="273"/>
      <c r="H13" s="273"/>
      <c r="I13" s="273"/>
      <c r="J13" s="273"/>
      <c r="K13" s="273"/>
      <c r="L13" s="273"/>
      <c r="M13" s="273"/>
      <c r="N13" s="275"/>
      <c r="O13" s="266" t="str">
        <f>IFERROR(IF(G6&lt;0.065,G6*0.75,G6*0.85),"")</f>
        <v/>
      </c>
      <c r="Q13" s="379"/>
      <c r="R13" s="379"/>
      <c r="S13" s="379"/>
      <c r="T13" s="379"/>
      <c r="U13" s="379"/>
    </row>
    <row r="14" spans="2:27" x14ac:dyDescent="0.25">
      <c r="F14" s="25" t="s">
        <v>351</v>
      </c>
      <c r="G14" s="273"/>
      <c r="H14" s="273"/>
      <c r="I14" s="273"/>
      <c r="J14" s="273"/>
      <c r="K14" s="273"/>
      <c r="L14" s="273"/>
      <c r="M14" s="273"/>
      <c r="N14" s="275"/>
      <c r="O14" s="266" t="str">
        <f>IFERROR(IF(G6&lt;0.065,G6*1.25,G6*1.15),"")</f>
        <v/>
      </c>
      <c r="Q14" s="379"/>
      <c r="R14" s="379"/>
      <c r="S14" s="379"/>
      <c r="T14" s="379"/>
      <c r="U14" s="379"/>
    </row>
    <row r="15" spans="2:27" s="14" customFormat="1" x14ac:dyDescent="0.25">
      <c r="E15" s="63"/>
      <c r="F15" s="2"/>
      <c r="I15" s="1"/>
      <c r="J15" s="1"/>
      <c r="K15" s="1"/>
      <c r="L15" s="1"/>
      <c r="M15" s="1"/>
      <c r="P15" s="1"/>
      <c r="Q15" s="1"/>
      <c r="R15" s="1"/>
      <c r="S15" s="1"/>
      <c r="T15" s="1"/>
      <c r="U15" s="1"/>
    </row>
    <row r="16" spans="2:27" s="14" customFormat="1" x14ac:dyDescent="0.25">
      <c r="E16" s="63"/>
      <c r="F16" s="1"/>
      <c r="Q16" s="38" t="s">
        <v>202</v>
      </c>
      <c r="R16" s="38"/>
      <c r="S16" s="38"/>
      <c r="T16" s="38"/>
      <c r="U16" s="38"/>
    </row>
    <row r="17" spans="5:18" s="14" customFormat="1" x14ac:dyDescent="0.25">
      <c r="E17" s="63"/>
      <c r="Q17" s="1" t="s">
        <v>352</v>
      </c>
    </row>
    <row r="18" spans="5:18" s="14" customFormat="1" x14ac:dyDescent="0.25">
      <c r="E18" s="63"/>
      <c r="K18" s="1"/>
      <c r="L18" s="1"/>
      <c r="M18" s="1"/>
      <c r="P18" s="1"/>
      <c r="Q18" s="1"/>
      <c r="R18" s="1"/>
    </row>
    <row r="19" spans="5:18" s="14" customFormat="1" x14ac:dyDescent="0.25">
      <c r="E19" s="63"/>
      <c r="K19" s="1"/>
      <c r="L19" s="1"/>
      <c r="M19" s="1"/>
      <c r="P19" s="1"/>
      <c r="Q19" s="1"/>
      <c r="R19" s="1"/>
    </row>
    <row r="20" spans="5:18" x14ac:dyDescent="0.25">
      <c r="F20" s="14"/>
      <c r="N20" s="14"/>
      <c r="O20" s="14"/>
    </row>
    <row r="21" spans="5:18" s="14" customFormat="1" x14ac:dyDescent="0.25">
      <c r="E21" s="63"/>
      <c r="K21" s="1"/>
      <c r="L21" s="1"/>
      <c r="M21" s="1"/>
      <c r="P21" s="1"/>
      <c r="Q21" s="1"/>
      <c r="R21" s="1"/>
    </row>
    <row r="22" spans="5:18" s="14" customFormat="1" x14ac:dyDescent="0.25">
      <c r="E22" s="63"/>
      <c r="F22" s="1"/>
      <c r="K22" s="1"/>
      <c r="L22" s="1"/>
      <c r="M22" s="1"/>
      <c r="P22" s="1"/>
      <c r="Q22" s="1"/>
      <c r="R22" s="1"/>
    </row>
    <row r="23" spans="5:18" s="14" customFormat="1" x14ac:dyDescent="0.25">
      <c r="E23" s="63"/>
      <c r="F23" s="1"/>
      <c r="K23" s="1"/>
      <c r="L23" s="1"/>
      <c r="M23" s="1"/>
      <c r="P23" s="1"/>
      <c r="Q23" s="1"/>
      <c r="R23" s="1"/>
    </row>
    <row r="24" spans="5:18" s="14" customFormat="1" x14ac:dyDescent="0.25">
      <c r="E24" s="63"/>
      <c r="F24" s="1"/>
      <c r="K24" s="1"/>
      <c r="L24" s="1"/>
      <c r="M24" s="1"/>
      <c r="P24" s="1"/>
      <c r="Q24" s="1"/>
      <c r="R24" s="1"/>
    </row>
    <row r="25" spans="5:18" s="14" customFormat="1" x14ac:dyDescent="0.25">
      <c r="E25" s="63"/>
      <c r="F25" s="1"/>
      <c r="K25" s="1"/>
      <c r="L25" s="1"/>
      <c r="M25" s="1"/>
      <c r="P25" s="1"/>
      <c r="Q25" s="1"/>
      <c r="R25" s="1"/>
    </row>
    <row r="26" spans="5:18" x14ac:dyDescent="0.25">
      <c r="N26" s="14"/>
      <c r="O26" s="14"/>
    </row>
    <row r="27" spans="5:18" x14ac:dyDescent="0.25">
      <c r="N27" s="14"/>
      <c r="O27" s="14"/>
    </row>
    <row r="28" spans="5:18" x14ac:dyDescent="0.25">
      <c r="N28" s="14"/>
      <c r="O28" s="14"/>
    </row>
    <row r="29" spans="5:18" x14ac:dyDescent="0.25">
      <c r="N29" s="14"/>
      <c r="O29" s="14"/>
    </row>
    <row r="30" spans="5:18" x14ac:dyDescent="0.25">
      <c r="N30" s="14"/>
      <c r="O30" s="14"/>
    </row>
    <row r="31" spans="5:18" x14ac:dyDescent="0.25">
      <c r="N31" s="14"/>
      <c r="O31" s="14"/>
    </row>
    <row r="32" spans="5:18" x14ac:dyDescent="0.25">
      <c r="N32" s="14"/>
      <c r="O32" s="14"/>
    </row>
    <row r="33" spans="11:18" x14ac:dyDescent="0.25">
      <c r="K33" s="14"/>
      <c r="L33" s="14"/>
      <c r="M33" s="14"/>
      <c r="N33" s="14"/>
      <c r="O33" s="14"/>
      <c r="P33" s="14"/>
      <c r="Q33" s="14"/>
      <c r="R33" s="14"/>
    </row>
  </sheetData>
  <mergeCells count="4">
    <mergeCell ref="B2:C2"/>
    <mergeCell ref="B3:C3"/>
    <mergeCell ref="B4:C4"/>
    <mergeCell ref="Q10:U14"/>
  </mergeCells>
  <hyperlinks>
    <hyperlink ref="B4" location="'SOE DETAILS'!A1" display="SOE DETAILS" xr:uid="{3A8C7D2C-8AD2-4B88-BC95-3DE42FE54B2F}"/>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7641-CE92-4DDF-A95C-8CBE4E490E9B}">
  <sheetPr codeName="Sheet26">
    <tabColor theme="5" tint="-0.249977111117893"/>
  </sheetPr>
  <dimension ref="B2:AB141"/>
  <sheetViews>
    <sheetView showGridLines="0" zoomScale="85" zoomScaleNormal="85" workbookViewId="0">
      <selection activeCell="J30" sqref="J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13" customWidth="1"/>
    <col min="6" max="6" width="67.44140625" style="1" customWidth="1"/>
    <col min="7" max="15" width="9.21875" style="1" customWidth="1"/>
    <col min="16" max="16" width="9.21875" style="1"/>
    <col min="17" max="21" width="12.5546875" style="1" customWidth="1"/>
    <col min="22" max="25" width="9.21875" style="1"/>
    <col min="26" max="26" width="9.44140625" style="1" bestFit="1" customWidth="1"/>
    <col min="27" max="16384" width="9.21875" style="1"/>
  </cols>
  <sheetData>
    <row r="2" spans="2:28" x14ac:dyDescent="0.25">
      <c r="B2" s="374" t="s">
        <v>191</v>
      </c>
      <c r="C2" s="374"/>
      <c r="F2" s="21" t="s">
        <v>195</v>
      </c>
      <c r="G2" s="22"/>
      <c r="H2" s="22"/>
      <c r="I2" s="22"/>
      <c r="J2" s="22"/>
      <c r="K2" s="22"/>
      <c r="L2" s="22"/>
      <c r="M2" s="22"/>
      <c r="N2" s="22"/>
      <c r="O2" s="22"/>
      <c r="P2" s="22"/>
      <c r="Q2" s="22"/>
      <c r="R2" s="22"/>
      <c r="S2" s="22"/>
      <c r="T2" s="22"/>
      <c r="U2" s="22"/>
      <c r="V2" s="22"/>
      <c r="W2" s="22"/>
      <c r="X2" s="22"/>
      <c r="Y2" s="22"/>
      <c r="Z2" s="22"/>
      <c r="AA2" s="22"/>
    </row>
    <row r="3" spans="2:28" x14ac:dyDescent="0.25">
      <c r="B3" s="375" t="s">
        <v>192</v>
      </c>
      <c r="C3" s="375"/>
      <c r="F3" s="19" t="s">
        <v>369</v>
      </c>
      <c r="G3" s="20"/>
      <c r="H3" s="20"/>
      <c r="I3" s="20"/>
      <c r="J3" s="20"/>
      <c r="K3" s="20"/>
      <c r="L3" s="20"/>
      <c r="M3" s="20"/>
      <c r="N3" s="20"/>
      <c r="O3" s="20"/>
      <c r="P3" s="20"/>
      <c r="Q3" s="20"/>
      <c r="R3" s="20"/>
      <c r="S3" s="20"/>
      <c r="T3" s="20"/>
      <c r="U3" s="20"/>
      <c r="V3" s="20"/>
      <c r="W3" s="20"/>
      <c r="X3" s="20"/>
      <c r="Y3" s="20"/>
      <c r="Z3" s="20"/>
      <c r="AA3" s="20"/>
    </row>
    <row r="4" spans="2:28" ht="20.399999999999999" x14ac:dyDescent="0.25">
      <c r="B4" s="398" t="s">
        <v>189</v>
      </c>
      <c r="C4" s="398"/>
      <c r="F4" s="23" t="s">
        <v>194</v>
      </c>
      <c r="G4" s="24"/>
      <c r="H4" s="24"/>
      <c r="I4" s="24"/>
      <c r="J4" s="24"/>
      <c r="K4" s="24"/>
      <c r="L4" s="24"/>
      <c r="M4" s="24"/>
      <c r="N4" s="24"/>
      <c r="O4" s="24"/>
      <c r="P4" s="24"/>
      <c r="Q4" s="24"/>
      <c r="R4" s="24"/>
      <c r="S4" s="24"/>
      <c r="T4" s="24"/>
      <c r="U4" s="24"/>
      <c r="V4" s="24"/>
      <c r="W4" s="24"/>
      <c r="X4" s="24"/>
      <c r="Y4" s="24"/>
      <c r="Z4" s="24"/>
      <c r="AA4" s="24"/>
    </row>
    <row r="5" spans="2:28" x14ac:dyDescent="0.25">
      <c r="E5" s="62"/>
    </row>
    <row r="6" spans="2:28" x14ac:dyDescent="0.25">
      <c r="E6" s="62"/>
      <c r="F6" s="25" t="s">
        <v>363</v>
      </c>
      <c r="G6" s="280" t="str">
        <f>'FINANŠU MĒRĶU NOTEIKŠANA'!H117</f>
        <v/>
      </c>
      <c r="H6" s="44" t="s">
        <v>452</v>
      </c>
    </row>
    <row r="7" spans="2:28" x14ac:dyDescent="0.25">
      <c r="E7" s="62"/>
      <c r="F7" s="25"/>
      <c r="H7" s="44"/>
      <c r="O7" s="14"/>
      <c r="P7" s="14"/>
      <c r="Q7" s="14"/>
      <c r="R7" s="14"/>
      <c r="S7" s="14"/>
      <c r="T7" s="14"/>
      <c r="U7" s="14"/>
      <c r="V7" s="14"/>
    </row>
    <row r="8" spans="2:28" x14ac:dyDescent="0.25">
      <c r="E8" s="62"/>
      <c r="F8" s="25" t="s">
        <v>363</v>
      </c>
      <c r="G8" s="280">
        <f>'VKS PAMATA DATI'!G58</f>
        <v>0</v>
      </c>
      <c r="H8" s="44" t="s">
        <v>453</v>
      </c>
      <c r="O8" s="14"/>
      <c r="P8" s="14"/>
      <c r="Q8" s="14"/>
      <c r="R8" s="14"/>
      <c r="S8" s="14"/>
      <c r="T8" s="14"/>
      <c r="U8" s="14"/>
      <c r="V8" s="14"/>
    </row>
    <row r="9" spans="2:28" x14ac:dyDescent="0.25">
      <c r="E9" s="62"/>
      <c r="G9" s="44"/>
      <c r="H9" s="44"/>
      <c r="O9" s="14"/>
      <c r="P9" s="14"/>
      <c r="Q9" s="14"/>
      <c r="R9" s="14"/>
      <c r="S9" s="14"/>
      <c r="T9" s="14"/>
      <c r="U9" s="14"/>
      <c r="V9" s="14"/>
    </row>
    <row r="10" spans="2:28" x14ac:dyDescent="0.25">
      <c r="E10" s="62"/>
      <c r="F10" s="25" t="s">
        <v>363</v>
      </c>
      <c r="G10" s="280">
        <f>'VKS PAMATA DATI'!G60</f>
        <v>0</v>
      </c>
      <c r="H10" s="44" t="s">
        <v>454</v>
      </c>
      <c r="O10" s="14"/>
      <c r="P10" s="14"/>
      <c r="Q10" s="14"/>
      <c r="R10" s="14"/>
      <c r="S10" s="14"/>
      <c r="T10" s="14"/>
      <c r="U10" s="14"/>
      <c r="V10" s="14"/>
    </row>
    <row r="11" spans="2:28" s="14" customFormat="1" x14ac:dyDescent="0.25">
      <c r="E11" s="63"/>
      <c r="F11" s="25"/>
      <c r="G11" s="44"/>
      <c r="H11" s="44"/>
      <c r="I11" s="1"/>
      <c r="J11" s="1"/>
      <c r="K11" s="1"/>
      <c r="L11" s="1"/>
      <c r="M11" s="1"/>
      <c r="N11" s="1"/>
      <c r="W11" s="1"/>
      <c r="X11" s="52" t="s">
        <v>239</v>
      </c>
    </row>
    <row r="12" spans="2:28" s="14" customFormat="1" x14ac:dyDescent="0.3">
      <c r="E12" s="63"/>
      <c r="F12" s="25"/>
      <c r="X12" s="77" t="s">
        <v>237</v>
      </c>
      <c r="Y12" s="285">
        <f>ROUNDDOWN(MIN(G23:O27),2)</f>
        <v>0</v>
      </c>
      <c r="Z12" s="77" t="e" cm="1">
        <f t="array" aca="1" ref="Z12" ca="1">setChartAxis("SD_RT (f)","Chart SD_RT1","Min","Value","Primary",Y12)</f>
        <v>#NAME?</v>
      </c>
      <c r="AA12" s="77"/>
      <c r="AB12" s="78"/>
    </row>
    <row r="13" spans="2:28" s="14" customFormat="1" x14ac:dyDescent="0.3">
      <c r="E13" s="63"/>
      <c r="F13" s="25"/>
      <c r="G13" s="27" t="s">
        <v>178</v>
      </c>
      <c r="H13" s="27"/>
      <c r="I13" s="27"/>
      <c r="X13" s="81" t="s">
        <v>238</v>
      </c>
      <c r="Y13" s="286">
        <f>ROUNDUP(MAX(G23:O27),2)</f>
        <v>0</v>
      </c>
      <c r="Z13" s="81" t="e" cm="1">
        <f t="array" aca="1" ref="Z13" ca="1">setChartAxis("SD_RT (f)","Chart SD_RT1","Max","Value","Primary",Y13)</f>
        <v>#NAME?</v>
      </c>
      <c r="AA13" s="81"/>
      <c r="AB13" s="82"/>
    </row>
    <row r="14" spans="2:28" s="14" customFormat="1" x14ac:dyDescent="0.3">
      <c r="E14" s="63"/>
      <c r="F14" s="251" t="s">
        <v>353</v>
      </c>
      <c r="G14" s="360">
        <f>'VKS PAMATA DATI'!R9</f>
        <v>0</v>
      </c>
      <c r="H14" s="110"/>
      <c r="I14" s="110"/>
      <c r="X14" s="52"/>
      <c r="Y14" s="52"/>
      <c r="Z14" s="52"/>
      <c r="AA14" s="52"/>
      <c r="AB14" s="52"/>
    </row>
    <row r="15" spans="2:28" s="14" customFormat="1" x14ac:dyDescent="0.3">
      <c r="E15" s="63"/>
      <c r="F15" s="25" t="s">
        <v>224</v>
      </c>
      <c r="G15" s="50" t="str">
        <f>IFERROR(G14/SUM(G14,G16,G18),"")</f>
        <v/>
      </c>
      <c r="H15" s="111"/>
      <c r="I15" s="111"/>
      <c r="X15" s="52" t="s">
        <v>239</v>
      </c>
      <c r="AA15" s="52"/>
      <c r="AB15" s="52"/>
    </row>
    <row r="16" spans="2:28" s="14" customFormat="1" x14ac:dyDescent="0.3">
      <c r="E16" s="63"/>
      <c r="F16" s="251" t="s">
        <v>354</v>
      </c>
      <c r="G16" s="284">
        <f>'VKS PAMATA DATI'!R10</f>
        <v>0</v>
      </c>
      <c r="H16" s="110"/>
      <c r="I16" s="110"/>
      <c r="X16" s="77" t="s">
        <v>237</v>
      </c>
      <c r="Y16" s="285">
        <f>ROUNDDOWN(MIN(G31:O35),2)</f>
        <v>0</v>
      </c>
      <c r="Z16" s="77" t="e" cm="1">
        <f t="array" aca="1" ref="Z16" ca="1">setChartAxis("SD_RT (f)","Chart SD_RT2","Min","Value","Primary",Y16)</f>
        <v>#NAME?</v>
      </c>
      <c r="AA16" s="77"/>
      <c r="AB16" s="78"/>
    </row>
    <row r="17" spans="5:28" s="14" customFormat="1" x14ac:dyDescent="0.3">
      <c r="E17" s="63"/>
      <c r="F17" s="25" t="s">
        <v>225</v>
      </c>
      <c r="G17" s="49" t="str">
        <f>IFERROR(G16/SUM(G14,G16,G18),"")</f>
        <v/>
      </c>
      <c r="H17" s="112"/>
      <c r="I17" s="112"/>
      <c r="X17" s="81" t="s">
        <v>238</v>
      </c>
      <c r="Y17" s="286">
        <f>ROUNDUP(MAX(G31:O35),2)</f>
        <v>0</v>
      </c>
      <c r="Z17" s="81" t="e" cm="1">
        <f t="array" aca="1" ref="Z17" ca="1">setChartAxis("SD_RT (f)","Chart SD_RT2","Max","Value","Primary",Y17)</f>
        <v>#NAME?</v>
      </c>
      <c r="AA17" s="81"/>
      <c r="AB17" s="82"/>
    </row>
    <row r="18" spans="5:28" s="14" customFormat="1" x14ac:dyDescent="0.3">
      <c r="E18" s="63"/>
      <c r="F18" s="251" t="s">
        <v>355</v>
      </c>
      <c r="G18" s="284">
        <f>'VKS PAMATA DATI'!R11</f>
        <v>0</v>
      </c>
      <c r="H18" s="112"/>
      <c r="I18" s="112"/>
    </row>
    <row r="19" spans="5:28" s="14" customFormat="1" x14ac:dyDescent="0.3">
      <c r="E19" s="63"/>
      <c r="F19" s="25" t="s">
        <v>259</v>
      </c>
      <c r="G19" s="49" t="str">
        <f>IFERROR(G18/SUM(G14,G16,G18),"")</f>
        <v/>
      </c>
      <c r="H19" s="112"/>
      <c r="I19" s="112"/>
      <c r="X19" s="52" t="s">
        <v>239</v>
      </c>
      <c r="AA19" s="52"/>
      <c r="AB19" s="52"/>
    </row>
    <row r="20" spans="5:28" s="14" customFormat="1" x14ac:dyDescent="0.3">
      <c r="E20" s="63"/>
      <c r="F20" s="25"/>
      <c r="H20" s="112"/>
      <c r="I20" s="112"/>
      <c r="X20" s="77" t="s">
        <v>237</v>
      </c>
      <c r="Y20" s="285">
        <f>ROUNDDOWN(MIN(G39:O43),2)</f>
        <v>0</v>
      </c>
      <c r="Z20" s="77" t="e" cm="1">
        <f t="array" aca="1" ref="Z20" ca="1">setChartAxis("SD_RT (f)","Chart SD_RT3","Min","Value","Primary",Y20)</f>
        <v>#NAME?</v>
      </c>
      <c r="AA20" s="77"/>
      <c r="AB20" s="78"/>
    </row>
    <row r="21" spans="5:28" s="14" customFormat="1" x14ac:dyDescent="0.3">
      <c r="E21" s="63"/>
      <c r="F21" s="25"/>
      <c r="K21" s="65" t="s">
        <v>251</v>
      </c>
      <c r="L21" s="65"/>
      <c r="M21" s="65"/>
      <c r="N21" s="114"/>
      <c r="X21" s="81" t="s">
        <v>238</v>
      </c>
      <c r="Y21" s="286">
        <f>ROUNDUP(MAX(G39:O43),2)</f>
        <v>0</v>
      </c>
      <c r="Z21" s="81" t="e" cm="1">
        <f t="array" aca="1" ref="Z21" ca="1">setChartAxis("SD_RT (f)","Chart SD_RT3","Max","Value","Primary",Y21)</f>
        <v>#NAME?</v>
      </c>
      <c r="AA21" s="81"/>
      <c r="AB21" s="82"/>
    </row>
    <row r="22" spans="5:28" s="14" customFormat="1" ht="14.25" customHeight="1" x14ac:dyDescent="0.25">
      <c r="E22" s="63"/>
      <c r="F22" s="25"/>
      <c r="G22" s="3" t="s">
        <v>349</v>
      </c>
      <c r="H22" s="3" t="s">
        <v>348</v>
      </c>
      <c r="I22" s="3" t="s">
        <v>347</v>
      </c>
      <c r="J22" s="291" t="s">
        <v>178</v>
      </c>
      <c r="K22" s="115" t="s">
        <v>247</v>
      </c>
      <c r="L22" s="115" t="s">
        <v>248</v>
      </c>
      <c r="M22" s="115" t="s">
        <v>249</v>
      </c>
      <c r="N22" s="115" t="s">
        <v>250</v>
      </c>
      <c r="O22" s="27" t="s">
        <v>246</v>
      </c>
      <c r="Q22" s="379" t="s">
        <v>443</v>
      </c>
      <c r="R22" s="379"/>
      <c r="S22" s="379"/>
      <c r="T22" s="379"/>
      <c r="U22" s="379"/>
    </row>
    <row r="23" spans="5:28" s="14" customFormat="1" x14ac:dyDescent="0.25">
      <c r="E23" s="63"/>
      <c r="F23" s="2" t="s">
        <v>358</v>
      </c>
      <c r="G23" s="271">
        <f>'VKS PAMATA DATI'!U13</f>
        <v>0</v>
      </c>
      <c r="H23" s="271">
        <f>'VKS PAMATA DATI'!T13</f>
        <v>0</v>
      </c>
      <c r="I23" s="271">
        <f>'VKS PAMATA DATI'!S13</f>
        <v>0</v>
      </c>
      <c r="J23" s="292">
        <f>'VKS PAMATA DATI'!R13</f>
        <v>0</v>
      </c>
      <c r="K23" s="287"/>
      <c r="L23" s="287"/>
      <c r="M23" s="287"/>
      <c r="N23" s="287"/>
      <c r="O23" s="311" t="str">
        <f>O24</f>
        <v/>
      </c>
      <c r="Q23" s="379"/>
      <c r="R23" s="379"/>
      <c r="S23" s="379"/>
      <c r="T23" s="379"/>
      <c r="U23" s="379"/>
    </row>
    <row r="24" spans="5:28" s="14" customFormat="1" x14ac:dyDescent="0.25">
      <c r="E24" s="63"/>
      <c r="F24" s="2" t="s">
        <v>357</v>
      </c>
      <c r="G24" s="271"/>
      <c r="H24" s="271"/>
      <c r="I24" s="271"/>
      <c r="J24" s="292">
        <f>'VKS PAMATA DATI'!R13</f>
        <v>0</v>
      </c>
      <c r="K24" s="290" t="str">
        <f>IFERROR(J24-($J$24-$O$25)/5,"")</f>
        <v/>
      </c>
      <c r="L24" s="290" t="str">
        <f>IFERROR(K24-($J$24-$O$25)/5,"")</f>
        <v/>
      </c>
      <c r="M24" s="290" t="str">
        <f>IFERROR(L24-($J$24-$O$25)/5,"")</f>
        <v/>
      </c>
      <c r="N24" s="290" t="str">
        <f>IFERROR(M24-($J$24-$O$25)/5,"")</f>
        <v/>
      </c>
      <c r="O24" s="311" t="str">
        <f>O25</f>
        <v/>
      </c>
      <c r="Q24" s="379"/>
      <c r="R24" s="379"/>
      <c r="S24" s="379"/>
      <c r="T24" s="379"/>
      <c r="U24" s="379"/>
    </row>
    <row r="25" spans="5:28" s="14" customFormat="1" x14ac:dyDescent="0.3">
      <c r="E25" s="63"/>
      <c r="F25" s="116" t="str">
        <f>H6</f>
        <v>Benchmark value (commercial) CY+5</v>
      </c>
      <c r="G25" s="288"/>
      <c r="H25" s="288"/>
      <c r="I25" s="288"/>
      <c r="J25" s="288"/>
      <c r="K25" s="288"/>
      <c r="L25" s="288"/>
      <c r="M25" s="288"/>
      <c r="N25" s="288"/>
      <c r="O25" s="282" t="str">
        <f>G6</f>
        <v/>
      </c>
      <c r="Q25" s="379"/>
      <c r="R25" s="379"/>
      <c r="S25" s="379"/>
      <c r="T25" s="379"/>
      <c r="U25" s="379"/>
    </row>
    <row r="26" spans="5:28" s="14" customFormat="1" ht="13.5" customHeight="1" x14ac:dyDescent="0.3">
      <c r="E26" s="63"/>
      <c r="F26" s="25" t="s">
        <v>350</v>
      </c>
      <c r="G26" s="288"/>
      <c r="H26" s="288"/>
      <c r="I26" s="288"/>
      <c r="J26" s="288"/>
      <c r="K26" s="288"/>
      <c r="L26" s="288"/>
      <c r="M26" s="288"/>
      <c r="N26" s="288"/>
      <c r="O26" s="283" t="str">
        <f>IFERROR(IF(G6&lt;6.5%,G6*0.75,G6*0.85),"")</f>
        <v/>
      </c>
      <c r="Q26" s="379"/>
      <c r="R26" s="379"/>
      <c r="S26" s="379"/>
      <c r="T26" s="379"/>
      <c r="U26" s="379"/>
    </row>
    <row r="27" spans="5:28" s="14" customFormat="1" ht="13.5" customHeight="1" x14ac:dyDescent="0.3">
      <c r="E27" s="63"/>
      <c r="F27" s="25" t="s">
        <v>351</v>
      </c>
      <c r="G27" s="288"/>
      <c r="H27" s="288"/>
      <c r="I27" s="288"/>
      <c r="J27" s="288"/>
      <c r="K27" s="288"/>
      <c r="L27" s="288"/>
      <c r="M27" s="288"/>
      <c r="N27" s="288"/>
      <c r="O27" s="283" t="str">
        <f>IFERROR(IF(G6&lt;6.5%,G6*1.25,G6*1.15),"")</f>
        <v/>
      </c>
      <c r="Q27" s="379"/>
      <c r="R27" s="379"/>
      <c r="S27" s="379"/>
      <c r="T27" s="379"/>
      <c r="U27" s="379"/>
    </row>
    <row r="28" spans="5:28" s="14" customFormat="1" ht="13.5" customHeight="1" x14ac:dyDescent="0.25">
      <c r="E28" s="63"/>
      <c r="F28" s="2"/>
      <c r="G28" s="109"/>
      <c r="H28" s="113"/>
      <c r="I28" s="113"/>
      <c r="J28" s="289"/>
      <c r="K28" s="27"/>
      <c r="L28" s="27"/>
      <c r="M28" s="27"/>
      <c r="N28" s="27"/>
      <c r="O28" s="27"/>
      <c r="Q28" s="1"/>
      <c r="R28" s="1"/>
      <c r="S28" s="1"/>
      <c r="T28" s="1"/>
      <c r="U28" s="1"/>
    </row>
    <row r="29" spans="5:28" s="14" customFormat="1" ht="13.5" customHeight="1" x14ac:dyDescent="0.25">
      <c r="E29" s="63"/>
      <c r="F29" s="2"/>
      <c r="G29" s="27"/>
      <c r="H29" s="27"/>
      <c r="I29" s="27"/>
      <c r="J29" s="109"/>
      <c r="K29" s="114" t="s">
        <v>251</v>
      </c>
      <c r="L29" s="114"/>
      <c r="M29" s="114"/>
      <c r="N29" s="114"/>
      <c r="O29" s="27"/>
      <c r="Q29" s="38" t="s">
        <v>202</v>
      </c>
      <c r="R29" s="38"/>
      <c r="S29" s="38"/>
      <c r="T29" s="38"/>
      <c r="U29" s="38"/>
    </row>
    <row r="30" spans="5:28" s="14" customFormat="1" x14ac:dyDescent="0.25">
      <c r="E30" s="63"/>
      <c r="F30" s="2"/>
      <c r="G30" s="3" t="s">
        <v>349</v>
      </c>
      <c r="H30" s="3" t="s">
        <v>348</v>
      </c>
      <c r="I30" s="3" t="s">
        <v>347</v>
      </c>
      <c r="J30" s="291" t="s">
        <v>178</v>
      </c>
      <c r="K30" s="115" t="s">
        <v>247</v>
      </c>
      <c r="L30" s="115" t="s">
        <v>248</v>
      </c>
      <c r="M30" s="115" t="s">
        <v>249</v>
      </c>
      <c r="N30" s="115" t="s">
        <v>250</v>
      </c>
      <c r="O30" s="27" t="s">
        <v>246</v>
      </c>
      <c r="Q30" s="1" t="s">
        <v>352</v>
      </c>
    </row>
    <row r="31" spans="5:28" s="14" customFormat="1" x14ac:dyDescent="0.25">
      <c r="E31" s="63"/>
      <c r="F31" s="2" t="s">
        <v>359</v>
      </c>
      <c r="G31" s="271">
        <f>'VKS PAMATA DATI'!U14</f>
        <v>0</v>
      </c>
      <c r="H31" s="271">
        <f>'VKS PAMATA DATI'!T14</f>
        <v>0</v>
      </c>
      <c r="I31" s="271">
        <f>'VKS PAMATA DATI'!S14</f>
        <v>0</v>
      </c>
      <c r="J31" s="292">
        <f>'VKS PAMATA DATI'!R14</f>
        <v>0</v>
      </c>
      <c r="K31" s="287"/>
      <c r="L31" s="287"/>
      <c r="M31" s="287"/>
      <c r="N31" s="287"/>
      <c r="O31" s="311">
        <f>O32</f>
        <v>0</v>
      </c>
    </row>
    <row r="32" spans="5:28" x14ac:dyDescent="0.25">
      <c r="E32" s="62"/>
      <c r="F32" s="2" t="s">
        <v>356</v>
      </c>
      <c r="G32" s="271"/>
      <c r="H32" s="271"/>
      <c r="I32" s="271"/>
      <c r="J32" s="292">
        <f>'VKS PAMATA DATI'!R14</f>
        <v>0</v>
      </c>
      <c r="K32" s="290">
        <f>IFERROR(J32-($J$32-$O$33)/5,"")</f>
        <v>0</v>
      </c>
      <c r="L32" s="290">
        <f>IFERROR(K32-($J$32-$O$33)/5,"")</f>
        <v>0</v>
      </c>
      <c r="M32" s="290">
        <f>IFERROR(L32-($J$32-$O$33)/5,"")</f>
        <v>0</v>
      </c>
      <c r="N32" s="290">
        <f>IFERROR(M32-($J$32-$O$33)/5,"")</f>
        <v>0</v>
      </c>
      <c r="O32" s="308">
        <f>O33</f>
        <v>0</v>
      </c>
      <c r="P32" s="14"/>
      <c r="Q32" s="14"/>
      <c r="R32" s="14"/>
      <c r="S32" s="14"/>
      <c r="T32" s="14"/>
      <c r="U32" s="14"/>
      <c r="V32" s="14"/>
      <c r="W32" s="14"/>
      <c r="X32" s="14"/>
      <c r="Y32" s="14"/>
      <c r="Z32" s="14"/>
      <c r="AA32" s="14"/>
      <c r="AB32" s="14"/>
    </row>
    <row r="33" spans="5:23" s="14" customFormat="1" x14ac:dyDescent="0.3">
      <c r="E33" s="63"/>
      <c r="F33" s="116" t="str">
        <f>H8</f>
        <v>Benchmark value (regulated) CY+5</v>
      </c>
      <c r="G33" s="288"/>
      <c r="H33" s="288"/>
      <c r="I33" s="288"/>
      <c r="J33" s="288"/>
      <c r="K33" s="288"/>
      <c r="L33" s="288"/>
      <c r="M33" s="288"/>
      <c r="N33" s="288"/>
      <c r="O33" s="282">
        <f>G8</f>
        <v>0</v>
      </c>
    </row>
    <row r="34" spans="5:23" s="14" customFormat="1" x14ac:dyDescent="0.3">
      <c r="E34" s="63"/>
      <c r="F34" s="25" t="s">
        <v>350</v>
      </c>
      <c r="G34" s="288"/>
      <c r="H34" s="288"/>
      <c r="I34" s="288"/>
      <c r="J34" s="288"/>
      <c r="K34" s="288"/>
      <c r="L34" s="288"/>
      <c r="M34" s="288"/>
      <c r="N34" s="288"/>
      <c r="O34" s="283">
        <f>IFERROR(IF(G8&lt;6.5%,G8*0.75,G8*0.85),"")</f>
        <v>0</v>
      </c>
    </row>
    <row r="35" spans="5:23" s="14" customFormat="1" x14ac:dyDescent="0.3">
      <c r="E35" s="63"/>
      <c r="F35" s="25" t="s">
        <v>351</v>
      </c>
      <c r="G35" s="288"/>
      <c r="H35" s="288"/>
      <c r="I35" s="288"/>
      <c r="J35" s="288"/>
      <c r="K35" s="288"/>
      <c r="L35" s="288"/>
      <c r="M35" s="288"/>
      <c r="N35" s="288"/>
      <c r="O35" s="283">
        <f>IFERROR(IF(G8&lt;6.5%,G8*1.25,G8*1.15),"")</f>
        <v>0</v>
      </c>
    </row>
    <row r="36" spans="5:23" s="14" customFormat="1" x14ac:dyDescent="0.3">
      <c r="E36" s="63"/>
      <c r="F36" s="25"/>
      <c r="G36" s="27"/>
      <c r="H36" s="27"/>
      <c r="I36" s="27"/>
      <c r="J36" s="27"/>
      <c r="K36" s="27"/>
      <c r="L36" s="27"/>
      <c r="M36" s="27"/>
      <c r="N36" s="27"/>
      <c r="O36" s="27"/>
    </row>
    <row r="37" spans="5:23" s="14" customFormat="1" x14ac:dyDescent="0.25">
      <c r="E37" s="63"/>
      <c r="F37" s="2"/>
      <c r="G37" s="27"/>
      <c r="H37" s="27"/>
      <c r="I37" s="27"/>
      <c r="J37" s="109"/>
      <c r="K37" s="114" t="s">
        <v>251</v>
      </c>
      <c r="L37" s="114"/>
      <c r="M37" s="114"/>
      <c r="N37" s="114"/>
      <c r="O37" s="27"/>
    </row>
    <row r="38" spans="5:23" s="14" customFormat="1" x14ac:dyDescent="0.25">
      <c r="E38" s="63"/>
      <c r="F38" s="2"/>
      <c r="G38" s="3" t="s">
        <v>349</v>
      </c>
      <c r="H38" s="3" t="s">
        <v>348</v>
      </c>
      <c r="I38" s="3" t="s">
        <v>347</v>
      </c>
      <c r="J38" s="291" t="s">
        <v>178</v>
      </c>
      <c r="K38" s="115" t="s">
        <v>247</v>
      </c>
      <c r="L38" s="115" t="s">
        <v>248</v>
      </c>
      <c r="M38" s="115" t="s">
        <v>249</v>
      </c>
      <c r="N38" s="115" t="s">
        <v>250</v>
      </c>
      <c r="O38" s="27" t="s">
        <v>246</v>
      </c>
    </row>
    <row r="39" spans="5:23" s="14" customFormat="1" x14ac:dyDescent="0.25">
      <c r="E39" s="63"/>
      <c r="F39" s="2" t="s">
        <v>361</v>
      </c>
      <c r="G39" s="271">
        <f>'VKS PAMATA DATI'!U15</f>
        <v>0</v>
      </c>
      <c r="H39" s="271">
        <f>'VKS PAMATA DATI'!T15</f>
        <v>0</v>
      </c>
      <c r="I39" s="271">
        <f>'VKS PAMATA DATI'!S15</f>
        <v>0</v>
      </c>
      <c r="J39" s="292">
        <f>'VKS PAMATA DATI'!R15</f>
        <v>0</v>
      </c>
      <c r="K39" s="287"/>
      <c r="L39" s="287"/>
      <c r="M39" s="287"/>
      <c r="N39" s="287"/>
      <c r="O39" s="311">
        <f>O40</f>
        <v>0</v>
      </c>
    </row>
    <row r="40" spans="5:23" s="14" customFormat="1" x14ac:dyDescent="0.25">
      <c r="E40" s="63"/>
      <c r="F40" s="2" t="s">
        <v>360</v>
      </c>
      <c r="G40" s="271"/>
      <c r="H40" s="271"/>
      <c r="I40" s="271"/>
      <c r="J40" s="292">
        <f>'VKS PAMATA DATI'!R15</f>
        <v>0</v>
      </c>
      <c r="K40" s="290">
        <f>IFERROR(J40-($J$40-$O$41)/5,"")</f>
        <v>0</v>
      </c>
      <c r="L40" s="290">
        <f>IFERROR(K40-($J$40-$O$41)/5,"")</f>
        <v>0</v>
      </c>
      <c r="M40" s="290">
        <f>IFERROR(L40-($J$40-$O$41)/5,"")</f>
        <v>0</v>
      </c>
      <c r="N40" s="290">
        <f>IFERROR(M40-($J$40-$O$41)/5,"")</f>
        <v>0</v>
      </c>
      <c r="O40" s="310">
        <f>O41</f>
        <v>0</v>
      </c>
      <c r="P40" s="1"/>
      <c r="Q40" s="1"/>
      <c r="R40" s="1"/>
      <c r="S40" s="1"/>
      <c r="T40" s="1"/>
      <c r="U40" s="1"/>
      <c r="V40" s="1"/>
    </row>
    <row r="41" spans="5:23" s="14" customFormat="1" x14ac:dyDescent="0.25">
      <c r="E41" s="63"/>
      <c r="F41" s="116" t="str">
        <f>H10</f>
        <v>Benchmark value (state financed) CY+5</v>
      </c>
      <c r="G41" s="288"/>
      <c r="H41" s="288"/>
      <c r="I41" s="288"/>
      <c r="J41" s="288"/>
      <c r="K41" s="288"/>
      <c r="L41" s="288"/>
      <c r="M41" s="288"/>
      <c r="N41" s="288"/>
      <c r="O41" s="282">
        <f>G10</f>
        <v>0</v>
      </c>
      <c r="P41" s="1"/>
      <c r="Q41" s="1"/>
      <c r="R41" s="1"/>
      <c r="S41" s="1"/>
      <c r="T41" s="1"/>
      <c r="U41" s="1"/>
      <c r="V41" s="1"/>
    </row>
    <row r="42" spans="5:23" s="14" customFormat="1" x14ac:dyDescent="0.25">
      <c r="E42" s="63"/>
      <c r="F42" s="25" t="s">
        <v>350</v>
      </c>
      <c r="G42" s="288"/>
      <c r="H42" s="288"/>
      <c r="I42" s="288"/>
      <c r="J42" s="288"/>
      <c r="K42" s="288"/>
      <c r="L42" s="288"/>
      <c r="M42" s="288"/>
      <c r="N42" s="288"/>
      <c r="O42" s="283">
        <f>IFERROR(IF(G10&lt;6.5%,G10*0.75,G10*0.85),"")</f>
        <v>0</v>
      </c>
      <c r="P42" s="1"/>
      <c r="Q42" s="1"/>
      <c r="R42" s="1"/>
      <c r="S42" s="1"/>
      <c r="T42" s="1"/>
      <c r="U42" s="1"/>
      <c r="V42" s="1"/>
    </row>
    <row r="43" spans="5:23" s="14" customFormat="1" x14ac:dyDescent="0.25">
      <c r="E43" s="63"/>
      <c r="F43" s="25" t="s">
        <v>351</v>
      </c>
      <c r="G43" s="288"/>
      <c r="H43" s="288"/>
      <c r="I43" s="288"/>
      <c r="J43" s="288"/>
      <c r="K43" s="288"/>
      <c r="L43" s="288"/>
      <c r="M43" s="288"/>
      <c r="N43" s="288"/>
      <c r="O43" s="283">
        <f>IFERROR(IF(G10&lt;6.5%,G10*1.25,G10*1.15),"")</f>
        <v>0</v>
      </c>
      <c r="P43" s="1"/>
      <c r="Q43" s="1"/>
      <c r="R43" s="1"/>
      <c r="S43" s="1"/>
      <c r="T43" s="1"/>
      <c r="U43" s="1"/>
      <c r="V43" s="1"/>
    </row>
    <row r="44" spans="5:23" s="14" customFormat="1" x14ac:dyDescent="0.25">
      <c r="E44" s="63"/>
      <c r="F44" s="25"/>
      <c r="O44" s="1"/>
      <c r="P44" s="1"/>
      <c r="Q44" s="1"/>
      <c r="R44" s="1"/>
      <c r="S44" s="1"/>
      <c r="T44" s="1"/>
      <c r="U44" s="1"/>
      <c r="V44" s="1"/>
    </row>
    <row r="45" spans="5:23" s="14" customFormat="1" x14ac:dyDescent="0.25">
      <c r="E45" s="63"/>
      <c r="F45" s="25"/>
      <c r="O45" s="1"/>
      <c r="P45" s="1"/>
      <c r="Q45" s="1"/>
      <c r="R45" s="1"/>
      <c r="S45" s="1"/>
      <c r="T45" s="1"/>
      <c r="U45" s="1"/>
      <c r="V45" s="1"/>
    </row>
    <row r="46" spans="5:23" s="14" customFormat="1" x14ac:dyDescent="0.25">
      <c r="E46" s="63"/>
      <c r="F46" s="25"/>
      <c r="O46" s="1"/>
      <c r="P46" s="1"/>
      <c r="Q46" s="1"/>
      <c r="R46" s="1"/>
      <c r="S46" s="1"/>
      <c r="T46" s="1"/>
      <c r="U46" s="1"/>
      <c r="V46" s="1"/>
    </row>
    <row r="47" spans="5:23" s="14" customFormat="1" x14ac:dyDescent="0.25">
      <c r="E47" s="63"/>
      <c r="F47" s="1"/>
      <c r="G47" s="1"/>
      <c r="H47" s="1"/>
      <c r="I47" s="1"/>
      <c r="J47" s="1"/>
      <c r="K47" s="1"/>
      <c r="L47" s="1"/>
      <c r="M47" s="1"/>
      <c r="N47" s="1"/>
      <c r="O47" s="1"/>
      <c r="P47" s="1"/>
      <c r="Q47" s="1"/>
      <c r="R47" s="1"/>
      <c r="S47" s="1"/>
      <c r="T47" s="1"/>
      <c r="U47" s="1"/>
      <c r="V47" s="1"/>
      <c r="W47" s="1"/>
    </row>
    <row r="48" spans="5:23" s="14" customFormat="1" x14ac:dyDescent="0.25">
      <c r="E48" s="63"/>
      <c r="F48" s="1"/>
      <c r="G48" s="1"/>
      <c r="H48" s="1"/>
      <c r="I48" s="1"/>
      <c r="J48" s="1"/>
      <c r="K48" s="1"/>
      <c r="L48" s="1"/>
      <c r="M48" s="1"/>
      <c r="N48" s="1"/>
      <c r="O48" s="1"/>
      <c r="P48" s="1"/>
      <c r="Q48" s="1"/>
      <c r="R48" s="1"/>
      <c r="S48" s="1"/>
      <c r="T48" s="1"/>
      <c r="U48" s="1"/>
      <c r="V48" s="1"/>
      <c r="W48" s="1"/>
    </row>
    <row r="49" spans="5:28" s="14" customFormat="1" x14ac:dyDescent="0.25">
      <c r="E49" s="63"/>
      <c r="F49" s="1"/>
      <c r="G49" s="1"/>
      <c r="H49" s="1"/>
      <c r="I49" s="1"/>
      <c r="J49" s="1"/>
      <c r="K49" s="1"/>
      <c r="L49" s="1"/>
      <c r="M49" s="1"/>
      <c r="N49" s="1"/>
      <c r="O49" s="1"/>
      <c r="P49" s="1"/>
      <c r="Q49" s="1"/>
      <c r="R49" s="1"/>
      <c r="S49" s="1"/>
      <c r="T49" s="1"/>
      <c r="U49" s="1"/>
      <c r="V49" s="1"/>
      <c r="W49" s="1"/>
      <c r="X49" s="1"/>
      <c r="Y49" s="1"/>
      <c r="Z49" s="1"/>
      <c r="AA49" s="1"/>
      <c r="AB49" s="1"/>
    </row>
    <row r="50" spans="5:28" s="14" customFormat="1" x14ac:dyDescent="0.25">
      <c r="E50" s="63"/>
      <c r="F50" s="1"/>
      <c r="G50" s="1"/>
      <c r="H50" s="1"/>
      <c r="I50" s="1"/>
      <c r="J50" s="1"/>
      <c r="K50" s="1"/>
      <c r="L50" s="1"/>
      <c r="M50" s="1"/>
      <c r="N50" s="1"/>
      <c r="O50" s="1"/>
      <c r="P50" s="1"/>
      <c r="Q50" s="1"/>
      <c r="R50" s="1"/>
      <c r="S50" s="1"/>
      <c r="T50" s="1"/>
      <c r="U50" s="1"/>
      <c r="V50" s="1"/>
      <c r="W50" s="1"/>
      <c r="X50" s="1"/>
      <c r="Y50" s="1"/>
      <c r="Z50" s="1"/>
      <c r="AA50" s="1"/>
      <c r="AB50" s="1"/>
    </row>
    <row r="51" spans="5:28" x14ac:dyDescent="0.25">
      <c r="E51" s="62"/>
    </row>
    <row r="52" spans="5:28" x14ac:dyDescent="0.25">
      <c r="E52" s="62"/>
    </row>
    <row r="53" spans="5:28" x14ac:dyDescent="0.25">
      <c r="E53" s="62"/>
    </row>
    <row r="54" spans="5:28" x14ac:dyDescent="0.25">
      <c r="E54" s="62"/>
    </row>
    <row r="55" spans="5:28" x14ac:dyDescent="0.25">
      <c r="E55" s="62"/>
    </row>
    <row r="56" spans="5:28" x14ac:dyDescent="0.25">
      <c r="E56" s="62"/>
    </row>
    <row r="57" spans="5:28" x14ac:dyDescent="0.25">
      <c r="E57" s="62"/>
    </row>
    <row r="58" spans="5:28" x14ac:dyDescent="0.25">
      <c r="E58" s="62"/>
    </row>
    <row r="59" spans="5:28" x14ac:dyDescent="0.25">
      <c r="E59" s="62"/>
    </row>
    <row r="60" spans="5:28" x14ac:dyDescent="0.25">
      <c r="E60" s="62"/>
    </row>
    <row r="61" spans="5:28" x14ac:dyDescent="0.25">
      <c r="E61" s="62"/>
    </row>
    <row r="62" spans="5:28" x14ac:dyDescent="0.25">
      <c r="E62" s="62"/>
    </row>
    <row r="63" spans="5:28" x14ac:dyDescent="0.25">
      <c r="E63" s="62"/>
    </row>
    <row r="64" spans="5:28" x14ac:dyDescent="0.25">
      <c r="E64" s="62"/>
    </row>
    <row r="65" spans="5:5" x14ac:dyDescent="0.25">
      <c r="E65" s="62"/>
    </row>
    <row r="66" spans="5:5" x14ac:dyDescent="0.25">
      <c r="E66" s="62"/>
    </row>
    <row r="67" spans="5:5" x14ac:dyDescent="0.25">
      <c r="E67" s="62"/>
    </row>
    <row r="68" spans="5:5" x14ac:dyDescent="0.25">
      <c r="E68" s="62"/>
    </row>
    <row r="69" spans="5:5" x14ac:dyDescent="0.25">
      <c r="E69" s="62"/>
    </row>
    <row r="70" spans="5:5" x14ac:dyDescent="0.25">
      <c r="E70" s="62"/>
    </row>
    <row r="71" spans="5:5" x14ac:dyDescent="0.25">
      <c r="E71" s="62"/>
    </row>
    <row r="72" spans="5:5" x14ac:dyDescent="0.25">
      <c r="E72" s="62"/>
    </row>
    <row r="73" spans="5:5" x14ac:dyDescent="0.25">
      <c r="E73" s="62"/>
    </row>
    <row r="74" spans="5:5" x14ac:dyDescent="0.25">
      <c r="E74" s="62"/>
    </row>
    <row r="75" spans="5:5" x14ac:dyDescent="0.25">
      <c r="E75" s="62"/>
    </row>
    <row r="76" spans="5:5" x14ac:dyDescent="0.25">
      <c r="E76" s="62"/>
    </row>
    <row r="77" spans="5:5" x14ac:dyDescent="0.25">
      <c r="E77" s="62"/>
    </row>
    <row r="78" spans="5:5" x14ac:dyDescent="0.25">
      <c r="E78" s="62"/>
    </row>
    <row r="79" spans="5:5" x14ac:dyDescent="0.25">
      <c r="E79" s="62"/>
    </row>
    <row r="80" spans="5:5" x14ac:dyDescent="0.25">
      <c r="E80" s="62"/>
    </row>
    <row r="81" spans="5:5" x14ac:dyDescent="0.25">
      <c r="E81" s="62"/>
    </row>
    <row r="82" spans="5:5" x14ac:dyDescent="0.25">
      <c r="E82" s="62"/>
    </row>
    <row r="83" spans="5:5" x14ac:dyDescent="0.25">
      <c r="E83" s="62"/>
    </row>
    <row r="84" spans="5:5" x14ac:dyDescent="0.25">
      <c r="E84" s="62"/>
    </row>
    <row r="85" spans="5:5" x14ac:dyDescent="0.25">
      <c r="E85" s="62"/>
    </row>
    <row r="86" spans="5:5" x14ac:dyDescent="0.25">
      <c r="E86" s="62"/>
    </row>
    <row r="87" spans="5:5" x14ac:dyDescent="0.25">
      <c r="E87" s="62"/>
    </row>
    <row r="88" spans="5:5" x14ac:dyDescent="0.25">
      <c r="E88" s="62"/>
    </row>
    <row r="89" spans="5:5" x14ac:dyDescent="0.25">
      <c r="E89" s="62"/>
    </row>
    <row r="90" spans="5:5" x14ac:dyDescent="0.25">
      <c r="E90" s="62"/>
    </row>
    <row r="91" spans="5:5" x14ac:dyDescent="0.25">
      <c r="E91" s="62"/>
    </row>
    <row r="92" spans="5:5" x14ac:dyDescent="0.25">
      <c r="E92" s="62"/>
    </row>
    <row r="93" spans="5:5" x14ac:dyDescent="0.25">
      <c r="E93" s="62"/>
    </row>
    <row r="94" spans="5:5" x14ac:dyDescent="0.25">
      <c r="E94" s="62"/>
    </row>
    <row r="95" spans="5:5" x14ac:dyDescent="0.25">
      <c r="E95" s="62"/>
    </row>
    <row r="96" spans="5:5" x14ac:dyDescent="0.25">
      <c r="E96" s="62"/>
    </row>
    <row r="97" spans="5:5" x14ac:dyDescent="0.25">
      <c r="E97" s="62"/>
    </row>
    <row r="98" spans="5:5" x14ac:dyDescent="0.25">
      <c r="E98" s="62"/>
    </row>
    <row r="99" spans="5:5" x14ac:dyDescent="0.25">
      <c r="E99" s="62"/>
    </row>
    <row r="100" spans="5:5" x14ac:dyDescent="0.25">
      <c r="E100" s="62"/>
    </row>
    <row r="101" spans="5:5" x14ac:dyDescent="0.25">
      <c r="E101" s="62"/>
    </row>
    <row r="102" spans="5:5" x14ac:dyDescent="0.25">
      <c r="E102" s="62"/>
    </row>
    <row r="103" spans="5:5" x14ac:dyDescent="0.25">
      <c r="E103" s="62"/>
    </row>
    <row r="104" spans="5:5" x14ac:dyDescent="0.25">
      <c r="E104" s="62"/>
    </row>
    <row r="105" spans="5:5" x14ac:dyDescent="0.25">
      <c r="E105" s="62"/>
    </row>
    <row r="106" spans="5:5" x14ac:dyDescent="0.25">
      <c r="E106" s="62"/>
    </row>
    <row r="107" spans="5:5" x14ac:dyDescent="0.25">
      <c r="E107" s="62"/>
    </row>
    <row r="108" spans="5:5" x14ac:dyDescent="0.25">
      <c r="E108" s="62"/>
    </row>
    <row r="109" spans="5:5" x14ac:dyDescent="0.25">
      <c r="E109" s="62"/>
    </row>
    <row r="110" spans="5:5" x14ac:dyDescent="0.25">
      <c r="E110" s="62"/>
    </row>
    <row r="111" spans="5:5" x14ac:dyDescent="0.25">
      <c r="E111" s="62"/>
    </row>
    <row r="112" spans="5:5" x14ac:dyDescent="0.25">
      <c r="E112" s="62"/>
    </row>
    <row r="113" spans="5:5" x14ac:dyDescent="0.25">
      <c r="E113" s="62"/>
    </row>
    <row r="114" spans="5:5" x14ac:dyDescent="0.25">
      <c r="E114" s="62"/>
    </row>
    <row r="115" spans="5:5" x14ac:dyDescent="0.25">
      <c r="E115" s="62"/>
    </row>
    <row r="116" spans="5:5" x14ac:dyDescent="0.25">
      <c r="E116" s="62"/>
    </row>
    <row r="117" spans="5:5" x14ac:dyDescent="0.25">
      <c r="E117" s="62"/>
    </row>
    <row r="118" spans="5:5" x14ac:dyDescent="0.25">
      <c r="E118" s="62"/>
    </row>
    <row r="119" spans="5:5" x14ac:dyDescent="0.25">
      <c r="E119" s="62"/>
    </row>
    <row r="120" spans="5:5" x14ac:dyDescent="0.25">
      <c r="E120" s="62"/>
    </row>
    <row r="121" spans="5:5" x14ac:dyDescent="0.25">
      <c r="E121" s="62"/>
    </row>
    <row r="122" spans="5:5" x14ac:dyDescent="0.25">
      <c r="E122" s="62"/>
    </row>
    <row r="123" spans="5:5" x14ac:dyDescent="0.25">
      <c r="E123" s="62"/>
    </row>
    <row r="124" spans="5:5" x14ac:dyDescent="0.25">
      <c r="E124" s="62"/>
    </row>
    <row r="125" spans="5:5" x14ac:dyDescent="0.25">
      <c r="E125" s="62"/>
    </row>
    <row r="126" spans="5:5" x14ac:dyDescent="0.25">
      <c r="E126" s="62"/>
    </row>
    <row r="127" spans="5:5" x14ac:dyDescent="0.25">
      <c r="E127" s="62"/>
    </row>
    <row r="128" spans="5:5" x14ac:dyDescent="0.25">
      <c r="E128" s="62"/>
    </row>
    <row r="129" spans="5:5" x14ac:dyDescent="0.25">
      <c r="E129" s="62"/>
    </row>
    <row r="130" spans="5:5" x14ac:dyDescent="0.25">
      <c r="E130" s="62"/>
    </row>
    <row r="131" spans="5:5" x14ac:dyDescent="0.25">
      <c r="E131" s="62"/>
    </row>
    <row r="132" spans="5:5" x14ac:dyDescent="0.25">
      <c r="E132" s="62"/>
    </row>
    <row r="133" spans="5:5" x14ac:dyDescent="0.25">
      <c r="E133" s="62"/>
    </row>
    <row r="134" spans="5:5" x14ac:dyDescent="0.25">
      <c r="E134" s="62"/>
    </row>
    <row r="135" spans="5:5" x14ac:dyDescent="0.25">
      <c r="E135" s="62"/>
    </row>
    <row r="136" spans="5:5" x14ac:dyDescent="0.25">
      <c r="E136" s="62"/>
    </row>
    <row r="137" spans="5:5" x14ac:dyDescent="0.25">
      <c r="E137" s="62"/>
    </row>
    <row r="138" spans="5:5" x14ac:dyDescent="0.25">
      <c r="E138" s="62"/>
    </row>
    <row r="139" spans="5:5" x14ac:dyDescent="0.25">
      <c r="E139" s="62"/>
    </row>
    <row r="140" spans="5:5" x14ac:dyDescent="0.25">
      <c r="E140" s="62"/>
    </row>
    <row r="141" spans="5:5" x14ac:dyDescent="0.25">
      <c r="E141" s="62"/>
    </row>
  </sheetData>
  <mergeCells count="4">
    <mergeCell ref="B2:C2"/>
    <mergeCell ref="B3:C3"/>
    <mergeCell ref="B4:C4"/>
    <mergeCell ref="Q22:U27"/>
  </mergeCells>
  <hyperlinks>
    <hyperlink ref="B4" location="'SOE DETAILS'!A1" display="SOE DETAILS" xr:uid="{81085821-BC21-4E66-B68B-F8A009EE7DC7}"/>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6D12-95A6-4D27-98EE-5FB24A86A7B0}">
  <sheetPr codeName="Sheet27">
    <tabColor theme="5" tint="-0.249977111117893"/>
  </sheetPr>
  <dimension ref="B2:AD34"/>
  <sheetViews>
    <sheetView showGridLines="0" zoomScale="85" zoomScaleNormal="85" workbookViewId="0">
      <selection activeCell="J30" sqref="J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65.77734375" style="1" customWidth="1"/>
    <col min="7" max="15" width="9.77734375" style="1" customWidth="1"/>
    <col min="16" max="16" width="9.21875" style="1"/>
    <col min="17" max="21" width="10.77734375" style="1" customWidth="1"/>
    <col min="22" max="16384" width="9.21875" style="1"/>
  </cols>
  <sheetData>
    <row r="2" spans="2:30" x14ac:dyDescent="0.25">
      <c r="B2" s="374" t="s">
        <v>191</v>
      </c>
      <c r="C2" s="374"/>
      <c r="F2" s="21" t="s">
        <v>195</v>
      </c>
      <c r="G2" s="21"/>
      <c r="H2" s="21"/>
      <c r="I2" s="21"/>
      <c r="J2" s="21"/>
      <c r="K2" s="21"/>
      <c r="L2" s="21"/>
      <c r="M2" s="21"/>
      <c r="N2" s="21"/>
      <c r="O2" s="21"/>
      <c r="P2" s="21"/>
      <c r="Q2" s="21"/>
      <c r="R2" s="21"/>
      <c r="S2" s="21"/>
      <c r="T2" s="21"/>
      <c r="U2" s="21"/>
      <c r="V2" s="21"/>
      <c r="W2" s="21"/>
      <c r="X2" s="21"/>
      <c r="Y2" s="21"/>
      <c r="Z2" s="22"/>
      <c r="AA2" s="22"/>
      <c r="AB2" s="22"/>
      <c r="AC2" s="22"/>
      <c r="AD2" s="22"/>
    </row>
    <row r="3" spans="2:30" x14ac:dyDescent="0.25">
      <c r="B3" s="375" t="s">
        <v>192</v>
      </c>
      <c r="C3" s="375"/>
      <c r="F3" s="19" t="s">
        <v>369</v>
      </c>
      <c r="G3" s="19"/>
      <c r="H3" s="19"/>
      <c r="I3" s="19"/>
      <c r="J3" s="19"/>
      <c r="K3" s="19"/>
      <c r="L3" s="19"/>
      <c r="M3" s="19"/>
      <c r="N3" s="19"/>
      <c r="O3" s="19"/>
      <c r="P3" s="19"/>
      <c r="Q3" s="19"/>
      <c r="R3" s="19"/>
      <c r="S3" s="19"/>
      <c r="T3" s="19"/>
      <c r="U3" s="19"/>
      <c r="V3" s="19"/>
      <c r="W3" s="19"/>
      <c r="X3" s="19"/>
      <c r="Y3" s="19"/>
      <c r="Z3" s="20"/>
      <c r="AA3" s="20"/>
      <c r="AB3" s="20"/>
      <c r="AC3" s="20"/>
      <c r="AD3" s="20"/>
    </row>
    <row r="4" spans="2:30" ht="20.399999999999999" x14ac:dyDescent="0.25">
      <c r="B4" s="398" t="s">
        <v>189</v>
      </c>
      <c r="C4" s="398"/>
      <c r="F4" s="23" t="s">
        <v>185</v>
      </c>
      <c r="G4" s="23"/>
      <c r="H4" s="23"/>
      <c r="I4" s="23"/>
      <c r="J4" s="23"/>
      <c r="K4" s="23"/>
      <c r="L4" s="23"/>
      <c r="M4" s="23"/>
      <c r="N4" s="23"/>
      <c r="O4" s="23"/>
      <c r="P4" s="23"/>
      <c r="Q4" s="23"/>
      <c r="R4" s="23"/>
      <c r="S4" s="23"/>
      <c r="T4" s="23"/>
      <c r="U4" s="23"/>
      <c r="V4" s="23"/>
      <c r="W4" s="23"/>
      <c r="X4" s="23"/>
      <c r="Y4" s="23"/>
      <c r="Z4" s="24"/>
      <c r="AA4" s="24"/>
      <c r="AB4" s="24"/>
      <c r="AC4" s="24"/>
      <c r="AD4" s="24"/>
    </row>
    <row r="6" spans="2:30" x14ac:dyDescent="0.25">
      <c r="F6" s="25"/>
      <c r="G6" s="25"/>
      <c r="H6" s="25"/>
      <c r="I6" s="25" t="s">
        <v>364</v>
      </c>
      <c r="J6" s="45" t="str">
        <f>'FINANŠU MĒRĶU NOTEIKŠANA'!H194</f>
        <v/>
      </c>
      <c r="K6" s="44" t="s">
        <v>451</v>
      </c>
    </row>
    <row r="7" spans="2:30" ht="15" customHeight="1" x14ac:dyDescent="0.25">
      <c r="F7" s="2"/>
      <c r="G7" s="2"/>
      <c r="H7" s="2"/>
      <c r="I7" s="2"/>
      <c r="J7" s="14"/>
      <c r="K7" s="14"/>
      <c r="Q7" s="14"/>
      <c r="R7" s="14"/>
    </row>
    <row r="8" spans="2:30" ht="15" customHeight="1" x14ac:dyDescent="0.25">
      <c r="F8" s="2"/>
      <c r="J8" s="14"/>
      <c r="K8" s="65" t="s">
        <v>251</v>
      </c>
      <c r="L8" s="65"/>
      <c r="M8" s="65"/>
      <c r="N8" s="114"/>
      <c r="O8" s="14"/>
      <c r="Q8" s="14"/>
      <c r="R8" s="14"/>
    </row>
    <row r="9" spans="2:30" ht="15" customHeight="1" x14ac:dyDescent="0.25">
      <c r="F9" s="2"/>
      <c r="G9" s="3" t="s">
        <v>349</v>
      </c>
      <c r="H9" s="3" t="s">
        <v>348</v>
      </c>
      <c r="I9" s="3" t="s">
        <v>347</v>
      </c>
      <c r="J9" s="291" t="s">
        <v>178</v>
      </c>
      <c r="K9" s="115" t="s">
        <v>247</v>
      </c>
      <c r="L9" s="115" t="s">
        <v>248</v>
      </c>
      <c r="M9" s="115" t="s">
        <v>249</v>
      </c>
      <c r="N9" s="115" t="s">
        <v>250</v>
      </c>
      <c r="O9" s="27" t="s">
        <v>246</v>
      </c>
      <c r="Q9" s="14"/>
      <c r="R9" s="14"/>
      <c r="Z9" s="52" t="s">
        <v>239</v>
      </c>
      <c r="AA9" s="14"/>
      <c r="AB9" s="14"/>
      <c r="AC9" s="14"/>
      <c r="AD9" s="14"/>
    </row>
    <row r="10" spans="2:30" x14ac:dyDescent="0.25">
      <c r="F10" s="2" t="s">
        <v>318</v>
      </c>
      <c r="G10" s="49">
        <f>'VKS PAMATA DATI'!N15</f>
        <v>0</v>
      </c>
      <c r="H10" s="49">
        <f>'VKS PAMATA DATI'!M15</f>
        <v>0</v>
      </c>
      <c r="I10" s="49">
        <f>'VKS PAMATA DATI'!L15</f>
        <v>0</v>
      </c>
      <c r="J10" s="49">
        <f>'VKS PAMATA DATI'!K15</f>
        <v>0</v>
      </c>
      <c r="K10" s="32"/>
      <c r="L10" s="32"/>
      <c r="M10" s="32"/>
      <c r="N10" s="32"/>
      <c r="O10" s="309" t="str">
        <f>O11</f>
        <v/>
      </c>
      <c r="Q10" s="379" t="s">
        <v>443</v>
      </c>
      <c r="R10" s="379"/>
      <c r="S10" s="379"/>
      <c r="T10" s="379"/>
      <c r="U10" s="379"/>
      <c r="Z10" s="77" t="s">
        <v>237</v>
      </c>
      <c r="AA10" s="117">
        <f>ROUNDDOWN(MIN(G10:O14),2)</f>
        <v>0</v>
      </c>
      <c r="AB10" s="77" t="e" cm="1">
        <f t="array" aca="1" ref="AB10" ca="1">setChartAxis("SD_DP (f)","Chart SD_DP1","Min","Value","Primary",AA10)</f>
        <v>#NAME?</v>
      </c>
      <c r="AC10" s="77"/>
      <c r="AD10" s="78"/>
    </row>
    <row r="11" spans="2:30" x14ac:dyDescent="0.25">
      <c r="F11" s="25" t="s">
        <v>362</v>
      </c>
      <c r="G11" s="49"/>
      <c r="H11" s="49"/>
      <c r="I11" s="49"/>
      <c r="J11" s="49">
        <f>'VKS PAMATA DATI'!K15</f>
        <v>0</v>
      </c>
      <c r="K11" s="293" t="str">
        <f>IFERROR(J11-($J$11-$O$12)/5,"")</f>
        <v/>
      </c>
      <c r="L11" s="293" t="str">
        <f>IFERROR(K11-($J$11-$O$12)/5,"")</f>
        <v/>
      </c>
      <c r="M11" s="293" t="str">
        <f>IFERROR(L11-($J$11-$O$12)/5,"")</f>
        <v/>
      </c>
      <c r="N11" s="293" t="str">
        <f>IFERROR(M11-($J$11-$O$12)/5,"")</f>
        <v/>
      </c>
      <c r="O11" s="309" t="str">
        <f>O12</f>
        <v/>
      </c>
      <c r="Q11" s="379"/>
      <c r="R11" s="379"/>
      <c r="S11" s="379"/>
      <c r="T11" s="379"/>
      <c r="U11" s="379"/>
      <c r="Z11" s="81" t="s">
        <v>238</v>
      </c>
      <c r="AA11" s="118">
        <f>ROUNDUP(MAX(G10:O14),2)</f>
        <v>0</v>
      </c>
      <c r="AB11" s="81" t="e" cm="1">
        <f t="array" aca="1" ref="AB11" ca="1">setChartAxis("SD_DP (f)","Chart SD_DP1","Max","Value","Primary",AA11)</f>
        <v>#NAME?</v>
      </c>
      <c r="AC11" s="81"/>
      <c r="AD11" s="82"/>
    </row>
    <row r="12" spans="2:30" x14ac:dyDescent="0.25">
      <c r="F12" s="116" t="str">
        <f>K6</f>
        <v>Benchmark value CY+5</v>
      </c>
      <c r="G12" s="281"/>
      <c r="H12" s="281"/>
      <c r="I12" s="281"/>
      <c r="J12" s="281"/>
      <c r="K12" s="281"/>
      <c r="L12" s="281"/>
      <c r="M12" s="281"/>
      <c r="N12" s="281"/>
      <c r="O12" s="294" t="str">
        <f>J6</f>
        <v/>
      </c>
      <c r="Q12" s="379"/>
      <c r="R12" s="379"/>
      <c r="S12" s="379"/>
      <c r="T12" s="379"/>
      <c r="U12" s="379"/>
    </row>
    <row r="13" spans="2:30" x14ac:dyDescent="0.25">
      <c r="F13" s="25" t="s">
        <v>350</v>
      </c>
      <c r="G13" s="281"/>
      <c r="H13" s="281"/>
      <c r="I13" s="281"/>
      <c r="J13" s="281"/>
      <c r="K13" s="281"/>
      <c r="L13" s="281"/>
      <c r="M13" s="281"/>
      <c r="N13" s="295"/>
      <c r="O13" s="283" t="str">
        <f>IFERROR(IF(J6&lt;6.5%,J6*0.75,J6*0.85),"")</f>
        <v/>
      </c>
      <c r="Q13" s="379"/>
      <c r="R13" s="379"/>
      <c r="S13" s="379"/>
      <c r="T13" s="379"/>
      <c r="U13" s="379"/>
    </row>
    <row r="14" spans="2:30" x14ac:dyDescent="0.25">
      <c r="F14" s="25" t="s">
        <v>351</v>
      </c>
      <c r="G14" s="281"/>
      <c r="H14" s="281"/>
      <c r="I14" s="281"/>
      <c r="J14" s="281"/>
      <c r="K14" s="281"/>
      <c r="L14" s="281"/>
      <c r="M14" s="281"/>
      <c r="N14" s="295"/>
      <c r="O14" s="49" t="str">
        <f>IFERROR(IF(J6&lt;6.5%,J6*1.25,J6*1.15),"")</f>
        <v/>
      </c>
      <c r="Q14" s="379"/>
      <c r="R14" s="379"/>
      <c r="S14" s="379"/>
      <c r="T14" s="379"/>
      <c r="U14" s="379"/>
    </row>
    <row r="15" spans="2:30" s="14" customFormat="1" x14ac:dyDescent="0.25">
      <c r="E15" s="63"/>
      <c r="F15" s="2"/>
      <c r="G15" s="2"/>
      <c r="H15" s="2"/>
      <c r="I15" s="2"/>
      <c r="L15" s="1"/>
      <c r="M15" s="1"/>
      <c r="N15" s="1"/>
      <c r="O15" s="1"/>
      <c r="P15" s="1"/>
      <c r="Q15" s="379"/>
      <c r="R15" s="379"/>
      <c r="S15" s="379"/>
      <c r="T15" s="379"/>
      <c r="U15" s="379"/>
      <c r="V15" s="1"/>
      <c r="W15" s="1"/>
      <c r="X15" s="1"/>
      <c r="Y15" s="1"/>
    </row>
    <row r="16" spans="2:30" s="14" customFormat="1" x14ac:dyDescent="0.25">
      <c r="E16" s="63"/>
      <c r="F16" s="1"/>
      <c r="G16" s="1"/>
      <c r="H16" s="1"/>
      <c r="I16" s="1"/>
      <c r="Q16" s="1"/>
      <c r="R16" s="1"/>
      <c r="S16" s="1"/>
      <c r="T16" s="1"/>
      <c r="U16" s="1"/>
    </row>
    <row r="17" spans="5:25" s="14" customFormat="1" x14ac:dyDescent="0.25">
      <c r="E17" s="63"/>
      <c r="Q17" s="38" t="s">
        <v>202</v>
      </c>
      <c r="R17" s="38"/>
      <c r="S17" s="38"/>
      <c r="T17" s="38"/>
      <c r="U17" s="38"/>
    </row>
    <row r="18" spans="5:25" s="14" customFormat="1" x14ac:dyDescent="0.25">
      <c r="E18" s="63"/>
      <c r="Q18" s="1" t="s">
        <v>352</v>
      </c>
    </row>
    <row r="19" spans="5:25" s="14" customFormat="1" x14ac:dyDescent="0.3">
      <c r="E19" s="63"/>
    </row>
    <row r="20" spans="5:25" x14ac:dyDescent="0.25">
      <c r="F20" s="14"/>
      <c r="G20" s="14"/>
      <c r="H20" s="14"/>
      <c r="I20" s="14"/>
      <c r="J20" s="14"/>
      <c r="K20" s="14"/>
      <c r="L20" s="14"/>
      <c r="M20" s="14"/>
      <c r="N20" s="14"/>
      <c r="O20" s="14"/>
      <c r="P20" s="14"/>
      <c r="Q20" s="14"/>
      <c r="R20" s="14"/>
      <c r="S20" s="14"/>
      <c r="T20" s="14"/>
      <c r="U20" s="14"/>
      <c r="V20" s="14"/>
      <c r="W20" s="14"/>
      <c r="X20" s="14"/>
      <c r="Y20" s="14"/>
    </row>
    <row r="21" spans="5:25" s="14" customFormat="1" x14ac:dyDescent="0.25">
      <c r="E21" s="63"/>
      <c r="J21" s="1"/>
      <c r="K21" s="1"/>
      <c r="L21" s="1"/>
      <c r="M21" s="1"/>
      <c r="V21" s="1"/>
      <c r="W21" s="1"/>
      <c r="X21" s="1"/>
      <c r="Y21" s="1"/>
    </row>
    <row r="22" spans="5:25" s="14" customFormat="1" x14ac:dyDescent="0.3">
      <c r="E22" s="63"/>
    </row>
    <row r="23" spans="5:25" s="14" customFormat="1" x14ac:dyDescent="0.25">
      <c r="E23" s="63"/>
      <c r="F23" s="1"/>
      <c r="G23" s="1"/>
      <c r="H23" s="1"/>
      <c r="I23" s="1"/>
    </row>
    <row r="24" spans="5:25" s="14" customFormat="1" x14ac:dyDescent="0.25">
      <c r="E24" s="63"/>
      <c r="F24" s="1"/>
      <c r="G24" s="1"/>
      <c r="H24" s="1"/>
      <c r="I24" s="1"/>
    </row>
    <row r="25" spans="5:25" s="14" customFormat="1" x14ac:dyDescent="0.25">
      <c r="E25" s="63"/>
      <c r="F25" s="1"/>
      <c r="G25" s="1"/>
      <c r="H25" s="1"/>
      <c r="I25" s="1"/>
    </row>
    <row r="26" spans="5:25" x14ac:dyDescent="0.25">
      <c r="J26" s="14"/>
      <c r="K26" s="14"/>
      <c r="L26" s="14"/>
      <c r="M26" s="14"/>
      <c r="N26" s="14"/>
      <c r="O26" s="14"/>
      <c r="P26" s="14"/>
      <c r="Q26" s="14"/>
      <c r="R26" s="14"/>
      <c r="S26" s="14"/>
      <c r="T26" s="14"/>
      <c r="U26" s="14"/>
      <c r="V26" s="14"/>
      <c r="W26" s="14"/>
      <c r="X26" s="14"/>
      <c r="Y26" s="14"/>
    </row>
    <row r="27" spans="5:25" x14ac:dyDescent="0.25">
      <c r="N27" s="14"/>
      <c r="O27" s="14"/>
      <c r="P27" s="14"/>
      <c r="Q27" s="14"/>
      <c r="R27" s="14"/>
      <c r="S27" s="14"/>
      <c r="T27" s="14"/>
      <c r="U27" s="14"/>
    </row>
    <row r="28" spans="5:25" x14ac:dyDescent="0.25">
      <c r="N28" s="14"/>
      <c r="O28" s="14"/>
      <c r="P28" s="14"/>
      <c r="Q28" s="14"/>
      <c r="R28" s="14"/>
      <c r="S28" s="14"/>
      <c r="T28" s="14"/>
      <c r="U28" s="14"/>
    </row>
    <row r="29" spans="5:25" x14ac:dyDescent="0.25">
      <c r="N29" s="14"/>
      <c r="O29" s="14"/>
      <c r="P29" s="14"/>
      <c r="Q29" s="14"/>
      <c r="R29" s="14"/>
      <c r="S29" s="14"/>
      <c r="T29" s="14"/>
      <c r="U29" s="14"/>
    </row>
    <row r="30" spans="5:25" x14ac:dyDescent="0.25">
      <c r="N30" s="14"/>
      <c r="O30" s="14"/>
      <c r="P30" s="14"/>
      <c r="Q30" s="14"/>
      <c r="R30" s="14"/>
      <c r="S30" s="14"/>
      <c r="T30" s="14"/>
      <c r="U30" s="14"/>
    </row>
    <row r="31" spans="5:25" x14ac:dyDescent="0.25">
      <c r="N31" s="14"/>
      <c r="O31" s="14"/>
      <c r="P31" s="14"/>
      <c r="Q31" s="14"/>
      <c r="R31" s="14"/>
      <c r="S31" s="14"/>
      <c r="T31" s="14"/>
      <c r="U31" s="14"/>
    </row>
    <row r="32" spans="5:25" x14ac:dyDescent="0.25">
      <c r="N32" s="14"/>
      <c r="O32" s="14"/>
      <c r="P32" s="14"/>
      <c r="Q32" s="14"/>
      <c r="R32" s="14"/>
      <c r="S32" s="14"/>
      <c r="T32" s="14"/>
      <c r="U32" s="14"/>
    </row>
    <row r="33" spans="14:21" x14ac:dyDescent="0.25">
      <c r="N33" s="14"/>
      <c r="O33" s="14"/>
      <c r="P33" s="14"/>
      <c r="Q33" s="14"/>
      <c r="R33" s="14"/>
      <c r="S33" s="14"/>
      <c r="T33" s="14"/>
      <c r="U33" s="14"/>
    </row>
    <row r="34" spans="14:21" x14ac:dyDescent="0.25">
      <c r="N34" s="14"/>
      <c r="O34" s="14"/>
      <c r="P34" s="14"/>
      <c r="Q34" s="14"/>
      <c r="R34" s="14"/>
      <c r="S34" s="14"/>
      <c r="T34" s="14"/>
      <c r="U34" s="14"/>
    </row>
  </sheetData>
  <mergeCells count="4">
    <mergeCell ref="B2:C2"/>
    <mergeCell ref="B3:C3"/>
    <mergeCell ref="B4:C4"/>
    <mergeCell ref="Q10:U15"/>
  </mergeCells>
  <hyperlinks>
    <hyperlink ref="B4" location="'SOE DETAILS'!A1" display="SOE DETAILS" xr:uid="{EDCE9913-2B6E-49B6-83FF-5D38E1823758}"/>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BD06-86ED-4DAF-91EB-1542A3AE37E7}">
  <sheetPr codeName="Sheet29">
    <tabColor theme="5" tint="-0.249977111117893"/>
  </sheetPr>
  <dimension ref="B2:AE55"/>
  <sheetViews>
    <sheetView showGridLines="0" topLeftCell="A7" zoomScale="85" zoomScaleNormal="85" workbookViewId="0">
      <selection activeCell="J30" sqref="J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25" width="12.77734375" style="1" customWidth="1"/>
    <col min="26" max="28" width="9.21875" style="1"/>
    <col min="29" max="29" width="9.5546875" style="1" bestFit="1" customWidth="1"/>
    <col min="30" max="16384" width="9.21875" style="1"/>
  </cols>
  <sheetData>
    <row r="2" spans="2:31" x14ac:dyDescent="0.25">
      <c r="B2" s="374" t="s">
        <v>191</v>
      </c>
      <c r="C2" s="374"/>
      <c r="F2" s="21" t="s">
        <v>195</v>
      </c>
      <c r="G2" s="21"/>
      <c r="H2" s="21"/>
      <c r="I2" s="21"/>
      <c r="J2" s="21"/>
      <c r="K2" s="21"/>
      <c r="L2" s="21"/>
      <c r="M2" s="21"/>
      <c r="N2" s="21"/>
      <c r="O2" s="21"/>
      <c r="P2" s="21"/>
      <c r="Q2" s="21"/>
      <c r="R2" s="21"/>
      <c r="S2" s="21"/>
      <c r="T2" s="21"/>
      <c r="U2" s="21"/>
      <c r="V2" s="21"/>
      <c r="W2" s="21"/>
      <c r="X2" s="21"/>
      <c r="Y2" s="21"/>
    </row>
    <row r="3" spans="2:31" x14ac:dyDescent="0.25">
      <c r="B3" s="375" t="s">
        <v>192</v>
      </c>
      <c r="C3" s="375"/>
      <c r="F3" s="19" t="s">
        <v>369</v>
      </c>
      <c r="G3" s="19"/>
      <c r="H3" s="19"/>
      <c r="I3" s="19"/>
      <c r="J3" s="19"/>
      <c r="K3" s="19"/>
      <c r="L3" s="19"/>
      <c r="M3" s="19"/>
      <c r="N3" s="19"/>
      <c r="O3" s="19"/>
      <c r="P3" s="19"/>
      <c r="Q3" s="19"/>
      <c r="R3" s="19"/>
      <c r="S3" s="19"/>
      <c r="T3" s="19"/>
      <c r="U3" s="19"/>
      <c r="V3" s="19"/>
      <c r="W3" s="19"/>
      <c r="X3" s="19"/>
      <c r="Y3" s="19"/>
    </row>
    <row r="4" spans="2:31" ht="20.399999999999999" x14ac:dyDescent="0.25">
      <c r="B4" s="398" t="s">
        <v>189</v>
      </c>
      <c r="C4" s="398"/>
      <c r="F4" s="23" t="s">
        <v>180</v>
      </c>
      <c r="G4" s="23"/>
      <c r="H4" s="23"/>
      <c r="I4" s="23"/>
      <c r="J4" s="23"/>
      <c r="K4" s="23"/>
      <c r="L4" s="23"/>
      <c r="M4" s="23"/>
      <c r="N4" s="23"/>
      <c r="O4" s="23"/>
      <c r="P4" s="23"/>
      <c r="Q4" s="23"/>
      <c r="R4" s="23"/>
      <c r="S4" s="23"/>
      <c r="T4" s="23"/>
      <c r="U4" s="23"/>
      <c r="V4" s="23"/>
      <c r="W4" s="23"/>
      <c r="X4" s="23"/>
      <c r="Y4" s="23"/>
    </row>
    <row r="6" spans="2:31" x14ac:dyDescent="0.25">
      <c r="F6" s="312" t="s">
        <v>179</v>
      </c>
      <c r="G6" s="313"/>
      <c r="H6" s="313"/>
      <c r="I6" s="313"/>
      <c r="J6" s="313"/>
      <c r="K6" s="314"/>
      <c r="L6" s="314"/>
      <c r="M6" s="314"/>
      <c r="N6" s="314"/>
      <c r="O6" s="314"/>
      <c r="P6" s="314"/>
      <c r="Q6" s="314"/>
      <c r="R6" s="314"/>
      <c r="S6" s="314"/>
      <c r="T6" s="314"/>
      <c r="U6" s="314"/>
      <c r="V6" s="313"/>
      <c r="W6" s="313"/>
      <c r="X6" s="313"/>
      <c r="Y6" s="313"/>
    </row>
    <row r="8" spans="2:31" x14ac:dyDescent="0.25">
      <c r="AA8" s="52" t="s">
        <v>239</v>
      </c>
      <c r="AB8" s="14"/>
      <c r="AC8" s="14"/>
      <c r="AD8" s="14"/>
      <c r="AE8" s="14"/>
    </row>
    <row r="9" spans="2:31" x14ac:dyDescent="0.25">
      <c r="AA9" s="75" t="s">
        <v>237</v>
      </c>
      <c r="AB9" s="76">
        <f>'SD_CS (f)'!X10</f>
        <v>0</v>
      </c>
      <c r="AC9" s="77" t="e" cm="1">
        <f t="array" aca="1" ref="AC9" ca="1">setChartAxis("SD_Summary (f)","Chart SD_CS1","Min","Value","Primary",AB9)</f>
        <v>#NAME?</v>
      </c>
      <c r="AD9" s="77"/>
      <c r="AE9" s="78"/>
    </row>
    <row r="10" spans="2:31" x14ac:dyDescent="0.25">
      <c r="AA10" s="79" t="s">
        <v>238</v>
      </c>
      <c r="AB10" s="80">
        <f>'SD_CS (f)'!X11</f>
        <v>0</v>
      </c>
      <c r="AC10" s="81" t="e" cm="1">
        <f t="array" aca="1" ref="AC10" ca="1">setChartAxis("SD_Summary (f)","Chart SD_CS1","Max","Value","Primary",AB10)</f>
        <v>#NAME?</v>
      </c>
      <c r="AD10" s="81"/>
      <c r="AE10" s="82"/>
    </row>
    <row r="12" spans="2:31" x14ac:dyDescent="0.25">
      <c r="AA12" s="52" t="s">
        <v>239</v>
      </c>
      <c r="AB12" s="14"/>
      <c r="AC12" s="14"/>
      <c r="AD12" s="14"/>
      <c r="AE12" s="14"/>
    </row>
    <row r="13" spans="2:31" x14ac:dyDescent="0.25">
      <c r="AA13" s="75" t="s">
        <v>237</v>
      </c>
      <c r="AB13" s="76">
        <f>'SD_RT (f)'!Y12</f>
        <v>0</v>
      </c>
      <c r="AC13" s="77" t="e" cm="1">
        <f t="array" aca="1" ref="AC13" ca="1">setChartAxis("SD_Summary (f)","Chart SD_RT1","Min","Value","Primary",AB13)</f>
        <v>#NAME?</v>
      </c>
      <c r="AD13" s="77"/>
      <c r="AE13" s="78"/>
    </row>
    <row r="14" spans="2:31" x14ac:dyDescent="0.25">
      <c r="AA14" s="79" t="s">
        <v>238</v>
      </c>
      <c r="AB14" s="80">
        <f>'SD_RT (f)'!Y13</f>
        <v>0</v>
      </c>
      <c r="AC14" s="81" t="e" cm="1">
        <f t="array" aca="1" ref="AC14" ca="1">setChartAxis("SD_Summary (f)","Chart SD_RT1","Max","Value","Primary",AB14)</f>
        <v>#NAME?</v>
      </c>
      <c r="AD14" s="81"/>
      <c r="AE14" s="82"/>
    </row>
    <row r="15" spans="2:31" x14ac:dyDescent="0.25">
      <c r="AA15" s="52"/>
      <c r="AB15" s="52"/>
      <c r="AC15" s="52"/>
      <c r="AD15" s="52"/>
      <c r="AE15" s="52"/>
    </row>
    <row r="16" spans="2:31" x14ac:dyDescent="0.25">
      <c r="AA16" s="52" t="s">
        <v>239</v>
      </c>
      <c r="AB16" s="14"/>
      <c r="AC16" s="14"/>
      <c r="AD16" s="52"/>
      <c r="AE16" s="52"/>
    </row>
    <row r="17" spans="6:31" x14ac:dyDescent="0.25">
      <c r="AA17" s="75" t="s">
        <v>237</v>
      </c>
      <c r="AB17" s="76">
        <f>'SD_RT (f)'!Y16</f>
        <v>0</v>
      </c>
      <c r="AC17" s="77" t="e" cm="1">
        <f t="array" aca="1" ref="AC17" ca="1">setChartAxis("SD_Summary (f)","Chart SD_RT2","Min","Value","Primary",AB17)</f>
        <v>#NAME?</v>
      </c>
      <c r="AD17" s="77"/>
      <c r="AE17" s="78"/>
    </row>
    <row r="18" spans="6:31" x14ac:dyDescent="0.25">
      <c r="AA18" s="79" t="s">
        <v>238</v>
      </c>
      <c r="AB18" s="80">
        <f>'SD_RT (f)'!Y17</f>
        <v>0</v>
      </c>
      <c r="AC18" s="81" t="e" cm="1">
        <f t="array" aca="1" ref="AC18" ca="1">setChartAxis("SD_Summary (f)","Chart SD_RT2","Max","Value","Primary",AB18)</f>
        <v>#NAME?</v>
      </c>
      <c r="AD18" s="81"/>
      <c r="AE18" s="82"/>
    </row>
    <row r="20" spans="6:31" x14ac:dyDescent="0.25">
      <c r="AA20" s="52" t="s">
        <v>239</v>
      </c>
      <c r="AB20" s="14"/>
      <c r="AC20" s="14"/>
      <c r="AD20" s="52"/>
      <c r="AE20" s="52"/>
    </row>
    <row r="21" spans="6:31" x14ac:dyDescent="0.25">
      <c r="AA21" s="75" t="s">
        <v>237</v>
      </c>
      <c r="AB21" s="76">
        <f>'SD_RT (f)'!Y20</f>
        <v>0</v>
      </c>
      <c r="AC21" s="77" t="e" cm="1">
        <f t="array" aca="1" ref="AC21" ca="1">setChartAxis("SD_Summary (f)","Chart SD_RT3","Min","Value","Primary",AB21)</f>
        <v>#NAME?</v>
      </c>
      <c r="AD21" s="77"/>
      <c r="AE21" s="78"/>
    </row>
    <row r="22" spans="6:31" x14ac:dyDescent="0.25">
      <c r="AA22" s="79" t="s">
        <v>238</v>
      </c>
      <c r="AB22" s="80">
        <f>'SD_RT (f)'!Y21</f>
        <v>0</v>
      </c>
      <c r="AC22" s="81" t="e" cm="1">
        <f t="array" aca="1" ref="AC22" ca="1">setChartAxis("SD_Summary (f)","Chart SD_RT3","Max","Value","Primary",AB22)</f>
        <v>#NAME?</v>
      </c>
      <c r="AD22" s="81"/>
      <c r="AE22" s="82"/>
    </row>
    <row r="24" spans="6:31" x14ac:dyDescent="0.25">
      <c r="F24" s="314" t="s">
        <v>194</v>
      </c>
      <c r="G24" s="313"/>
      <c r="H24" s="313"/>
      <c r="I24" s="313"/>
      <c r="J24" s="313"/>
      <c r="K24" s="313"/>
      <c r="L24" s="313"/>
      <c r="M24" s="313"/>
      <c r="N24" s="313"/>
      <c r="O24" s="313"/>
      <c r="P24" s="313"/>
      <c r="Q24" s="313"/>
      <c r="R24" s="313"/>
      <c r="S24" s="313"/>
      <c r="T24" s="313"/>
      <c r="U24" s="313"/>
      <c r="V24" s="313"/>
      <c r="W24" s="313"/>
      <c r="X24" s="313"/>
      <c r="Y24" s="313"/>
      <c r="AA24" s="52" t="s">
        <v>239</v>
      </c>
      <c r="AB24" s="14"/>
      <c r="AC24" s="14"/>
      <c r="AD24" s="14"/>
      <c r="AE24" s="14"/>
    </row>
    <row r="25" spans="6:31" x14ac:dyDescent="0.25">
      <c r="F25" s="53" t="s">
        <v>188</v>
      </c>
      <c r="G25" s="53"/>
      <c r="H25" s="53"/>
      <c r="I25" s="53"/>
      <c r="J25" s="53"/>
      <c r="K25" s="53"/>
      <c r="M25" s="121" t="s">
        <v>181</v>
      </c>
      <c r="N25" s="53"/>
      <c r="O25" s="53"/>
      <c r="P25" s="53"/>
      <c r="Q25" s="53"/>
      <c r="R25" s="53"/>
      <c r="T25" s="121" t="s">
        <v>260</v>
      </c>
      <c r="U25" s="53"/>
      <c r="V25" s="53"/>
      <c r="W25" s="53"/>
      <c r="X25" s="53"/>
      <c r="Y25" s="53"/>
      <c r="AA25" s="75" t="s">
        <v>237</v>
      </c>
      <c r="AB25" s="117">
        <f>'SD_DP (f)'!AA10</f>
        <v>0</v>
      </c>
      <c r="AC25" s="77" t="e" cm="1">
        <f t="array" aca="1" ref="AC25" ca="1">setChartAxis("SD_Summary (f)","Chart SD_DP1","Min","Value","Primary",AB25)</f>
        <v>#NAME?</v>
      </c>
      <c r="AD25" s="77"/>
      <c r="AE25" s="78"/>
    </row>
    <row r="26" spans="6:31" x14ac:dyDescent="0.25">
      <c r="AA26" s="79" t="s">
        <v>238</v>
      </c>
      <c r="AB26" s="80">
        <f>'SD_DP (f)'!AA11</f>
        <v>0</v>
      </c>
      <c r="AC26" s="81" t="e" cm="1">
        <f t="array" aca="1" ref="AC26" ca="1">setChartAxis("SD_Summary (f)","Chart SD_DP1","Max","Value","Primary",AB26)</f>
        <v>#NAME?</v>
      </c>
      <c r="AD26" s="81"/>
      <c r="AE26" s="82"/>
    </row>
    <row r="55" spans="6:25" x14ac:dyDescent="0.25">
      <c r="F55" s="312" t="s">
        <v>185</v>
      </c>
      <c r="G55" s="313"/>
      <c r="H55" s="313"/>
      <c r="I55" s="313"/>
      <c r="J55" s="313"/>
      <c r="K55" s="313"/>
      <c r="L55" s="313"/>
      <c r="M55" s="313"/>
      <c r="N55" s="313"/>
      <c r="O55" s="313"/>
      <c r="P55" s="313"/>
      <c r="Q55" s="313"/>
      <c r="R55" s="313"/>
      <c r="S55" s="313"/>
      <c r="T55" s="313"/>
      <c r="U55" s="313"/>
      <c r="V55" s="313"/>
      <c r="W55" s="313"/>
      <c r="X55" s="313"/>
      <c r="Y55" s="313"/>
    </row>
  </sheetData>
  <mergeCells count="3">
    <mergeCell ref="B2:C2"/>
    <mergeCell ref="B3:C3"/>
    <mergeCell ref="B4:C4"/>
  </mergeCells>
  <hyperlinks>
    <hyperlink ref="B4" location="'SOE DETAILS'!A1" display="SOE DETAILS" xr:uid="{168B380C-C17B-4491-B466-4F63DF5A7488}"/>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8AD68-D2EE-4920-ADCA-98C54FD95B3F}">
  <sheetPr codeName="Sheet3">
    <tabColor rgb="FFC00000"/>
  </sheetPr>
  <dimension ref="B3:F4"/>
  <sheetViews>
    <sheetView showGridLines="0" workbookViewId="0">
      <selection activeCell="O30" sqref="O30"/>
    </sheetView>
  </sheetViews>
  <sheetFormatPr defaultColWidth="9.21875" defaultRowHeight="13.8" x14ac:dyDescent="0.25"/>
  <cols>
    <col min="1" max="3" width="9.21875" style="61"/>
    <col min="4" max="4" width="13" style="61" customWidth="1"/>
    <col min="5" max="16384" width="9.21875" style="61"/>
  </cols>
  <sheetData>
    <row r="3" spans="2:6" ht="24.6" x14ac:dyDescent="0.4">
      <c r="B3" s="60" t="s">
        <v>232</v>
      </c>
    </row>
    <row r="4" spans="2:6" ht="24.6" x14ac:dyDescent="0.4">
      <c r="B4" s="60" t="s">
        <v>196</v>
      </c>
      <c r="E4" s="60" t="s">
        <v>231</v>
      </c>
      <c r="F4" s="6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B923A-7A70-4170-9003-78EABA863170}">
  <sheetPr codeName="Sheet5">
    <tabColor theme="4" tint="-0.249977111117893"/>
  </sheetPr>
  <dimension ref="B2:AA32"/>
  <sheetViews>
    <sheetView showGridLines="0" zoomScale="85" zoomScaleNormal="85" workbookViewId="0">
      <selection activeCell="O30" sqref="O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52" style="1" bestFit="1" customWidth="1"/>
    <col min="7" max="10" width="10.44140625" style="1" customWidth="1"/>
    <col min="11" max="15" width="9.21875" style="1"/>
    <col min="16" max="20" width="12.77734375" style="1" customWidth="1"/>
    <col min="21" max="22" width="9.21875" style="1"/>
    <col min="23" max="23" width="5.21875" style="1" bestFit="1" customWidth="1"/>
    <col min="24" max="24" width="8" style="1" bestFit="1" customWidth="1"/>
    <col min="25" max="16384" width="9.21875" style="1"/>
  </cols>
  <sheetData>
    <row r="2" spans="2:27" x14ac:dyDescent="0.25">
      <c r="B2" s="374" t="s">
        <v>191</v>
      </c>
      <c r="C2" s="374"/>
      <c r="F2" s="17" t="s">
        <v>193</v>
      </c>
      <c r="G2" s="16"/>
      <c r="H2" s="16"/>
      <c r="I2" s="16"/>
      <c r="J2" s="16"/>
      <c r="K2" s="16"/>
      <c r="L2" s="16"/>
      <c r="M2" s="16"/>
      <c r="N2" s="16"/>
      <c r="O2" s="16"/>
      <c r="P2" s="16"/>
      <c r="Q2" s="16"/>
      <c r="R2" s="16"/>
      <c r="S2" s="16"/>
      <c r="T2" s="16"/>
      <c r="U2" s="16"/>
      <c r="V2" s="16"/>
      <c r="W2" s="16"/>
      <c r="X2" s="16"/>
      <c r="Y2" s="16"/>
      <c r="Z2" s="16"/>
      <c r="AA2" s="16"/>
    </row>
    <row r="3" spans="2:27" x14ac:dyDescent="0.25">
      <c r="B3" s="375" t="s">
        <v>192</v>
      </c>
      <c r="C3" s="375"/>
      <c r="F3" s="18" t="s">
        <v>188</v>
      </c>
      <c r="G3" s="10"/>
      <c r="H3" s="10"/>
      <c r="I3" s="10"/>
      <c r="J3" s="10"/>
      <c r="K3" s="10"/>
      <c r="L3" s="10"/>
      <c r="M3" s="10"/>
      <c r="N3" s="10"/>
      <c r="O3" s="10"/>
      <c r="P3" s="10"/>
      <c r="Q3" s="10"/>
      <c r="R3" s="10"/>
      <c r="S3" s="10"/>
      <c r="T3" s="10"/>
      <c r="U3" s="10"/>
      <c r="V3" s="10"/>
      <c r="W3" s="10"/>
      <c r="X3" s="10"/>
      <c r="Y3" s="10"/>
      <c r="Z3" s="10"/>
      <c r="AA3" s="10"/>
    </row>
    <row r="4" spans="2:27" ht="20.399999999999999" x14ac:dyDescent="0.25">
      <c r="B4" s="398" t="s">
        <v>189</v>
      </c>
      <c r="C4" s="398"/>
      <c r="F4" s="12" t="s">
        <v>179</v>
      </c>
      <c r="G4" s="11"/>
      <c r="H4" s="11"/>
      <c r="I4" s="11"/>
      <c r="J4" s="11"/>
      <c r="K4" s="11"/>
      <c r="L4" s="11"/>
      <c r="M4" s="11"/>
      <c r="N4" s="11"/>
      <c r="O4" s="11"/>
      <c r="P4" s="11"/>
      <c r="Q4" s="11"/>
      <c r="R4" s="11"/>
      <c r="S4" s="11"/>
      <c r="T4" s="11"/>
      <c r="U4" s="11"/>
      <c r="V4" s="11"/>
      <c r="W4" s="11"/>
      <c r="X4" s="11"/>
      <c r="Y4" s="11"/>
      <c r="Z4" s="11"/>
      <c r="AA4" s="11"/>
    </row>
    <row r="6" spans="2:27" ht="14.25" customHeight="1" x14ac:dyDescent="0.25">
      <c r="F6" s="25"/>
      <c r="G6" s="317">
        <f>'KOM_KS (p)'!G6</f>
        <v>0</v>
      </c>
      <c r="H6" s="44" t="s">
        <v>455</v>
      </c>
      <c r="P6" s="379" t="s">
        <v>442</v>
      </c>
      <c r="Q6" s="379"/>
      <c r="R6" s="379"/>
      <c r="S6" s="379"/>
      <c r="T6" s="379"/>
    </row>
    <row r="7" spans="2:27" ht="14.25" customHeight="1" x14ac:dyDescent="0.25">
      <c r="F7" s="25"/>
      <c r="P7" s="379"/>
      <c r="Q7" s="379"/>
      <c r="R7" s="379"/>
      <c r="S7" s="379"/>
      <c r="T7" s="379"/>
    </row>
    <row r="8" spans="2:27" s="14" customFormat="1" x14ac:dyDescent="0.3">
      <c r="E8" s="63"/>
      <c r="F8" s="116" t="s">
        <v>370</v>
      </c>
      <c r="G8" s="8" t="s">
        <v>178</v>
      </c>
      <c r="H8" s="27" t="s">
        <v>347</v>
      </c>
      <c r="I8" s="27" t="s">
        <v>348</v>
      </c>
      <c r="J8" s="27" t="s">
        <v>349</v>
      </c>
      <c r="P8" s="379"/>
      <c r="Q8" s="379"/>
      <c r="R8" s="379"/>
      <c r="S8" s="379"/>
      <c r="T8" s="379"/>
    </row>
    <row r="9" spans="2:27" s="14" customFormat="1" ht="14.4" x14ac:dyDescent="0.25">
      <c r="E9" s="63"/>
      <c r="F9" s="25">
        <f>'KOM_KS (p)'!F6</f>
        <v>0</v>
      </c>
      <c r="G9" s="318"/>
      <c r="H9" s="318"/>
      <c r="I9" s="318"/>
      <c r="J9" s="318"/>
      <c r="K9" s="29"/>
      <c r="P9" s="379"/>
      <c r="Q9" s="379"/>
      <c r="R9" s="379"/>
      <c r="S9" s="379"/>
      <c r="T9" s="379"/>
      <c r="W9" s="52" t="s">
        <v>239</v>
      </c>
    </row>
    <row r="10" spans="2:27" s="14" customFormat="1" x14ac:dyDescent="0.25">
      <c r="E10" s="63"/>
      <c r="G10" s="1"/>
      <c r="P10" s="379"/>
      <c r="Q10" s="379"/>
      <c r="R10" s="379"/>
      <c r="S10" s="379"/>
      <c r="T10" s="379"/>
      <c r="W10" s="75" t="s">
        <v>237</v>
      </c>
      <c r="X10" s="315">
        <f>ROUNDDOWN(MIN(G6,G9,G11,G13,H9,I9,J9),2)</f>
        <v>0</v>
      </c>
      <c r="Y10" s="77" t="e" cm="1">
        <f t="array" aca="1" ref="Y10" ca="1">setChartAxis("COM_CS","Chart COM_CS1","Min","Value","Primary",X10)</f>
        <v>#NAME?</v>
      </c>
      <c r="Z10" s="77"/>
      <c r="AA10" s="78"/>
    </row>
    <row r="11" spans="2:27" s="14" customFormat="1" x14ac:dyDescent="0.25">
      <c r="E11" s="63"/>
      <c r="F11" s="25"/>
      <c r="G11" s="317">
        <f>'KOM_KS (p)'!O13</f>
        <v>0</v>
      </c>
      <c r="H11" s="14" t="s">
        <v>350</v>
      </c>
      <c r="P11" s="1"/>
      <c r="Q11" s="1"/>
      <c r="R11" s="1"/>
      <c r="S11" s="1"/>
      <c r="T11" s="1"/>
      <c r="W11" s="79" t="s">
        <v>238</v>
      </c>
      <c r="X11" s="316">
        <f>ROUNDUP(MAX(G6,G9,H9,I9,J9,G11,G13),2)</f>
        <v>0</v>
      </c>
      <c r="Y11" s="81" t="e" cm="1">
        <f t="array" aca="1" ref="Y11" ca="1">setChartAxis("COM_CS","Chart COM_CS1","Max","Value","Primary",X11)</f>
        <v>#NAME?</v>
      </c>
      <c r="Z11" s="81"/>
      <c r="AA11" s="82"/>
    </row>
    <row r="12" spans="2:27" s="14" customFormat="1" x14ac:dyDescent="0.25">
      <c r="E12" s="63"/>
      <c r="F12" s="25"/>
      <c r="P12" s="38" t="s">
        <v>202</v>
      </c>
      <c r="Q12" s="38"/>
      <c r="R12" s="38"/>
      <c r="S12" s="38"/>
      <c r="T12" s="38"/>
      <c r="U12" s="38"/>
      <c r="V12" s="38"/>
      <c r="W12" s="38"/>
      <c r="X12" s="38"/>
      <c r="Y12" s="38"/>
      <c r="Z12" s="38"/>
    </row>
    <row r="13" spans="2:27" x14ac:dyDescent="0.25">
      <c r="F13" s="2"/>
      <c r="G13" s="317">
        <f>'KOM_KS (p)'!O14</f>
        <v>0</v>
      </c>
      <c r="H13" s="14" t="s">
        <v>351</v>
      </c>
      <c r="N13" s="14"/>
      <c r="O13" s="14"/>
      <c r="P13" s="1" t="s">
        <v>352</v>
      </c>
      <c r="Q13" s="14"/>
      <c r="R13" s="14"/>
      <c r="S13" s="14"/>
      <c r="T13" s="14"/>
      <c r="U13" s="14"/>
      <c r="V13" s="14"/>
      <c r="W13" s="14"/>
      <c r="X13" s="14"/>
      <c r="Y13" s="14"/>
      <c r="Z13" s="14"/>
    </row>
    <row r="14" spans="2:27" s="14" customFormat="1" x14ac:dyDescent="0.25">
      <c r="E14" s="63"/>
      <c r="F14" s="1"/>
    </row>
    <row r="15" spans="2:27" s="14" customFormat="1" x14ac:dyDescent="0.3">
      <c r="E15" s="63"/>
      <c r="F15" s="319" t="s">
        <v>371</v>
      </c>
      <c r="G15" s="320">
        <f>ROUNDUP(MAX(G6,G9,H9,I9,J9,G11,G13),2)</f>
        <v>0</v>
      </c>
      <c r="H15" s="320">
        <f>ROUNDUP(MAX(G6,G9,H9,I9,J9,G11,G13),2)</f>
        <v>0</v>
      </c>
      <c r="I15" s="320">
        <f>ROUNDUP(MAX(G6,G9,H9,I9,J9,G11,G13),2)</f>
        <v>0</v>
      </c>
      <c r="J15" s="320">
        <f>ROUNDUP(MAX(G6,G9,H9,I9,J9,G11,G13),2)</f>
        <v>0</v>
      </c>
      <c r="K15" s="14" t="s">
        <v>233</v>
      </c>
    </row>
    <row r="16" spans="2:27" s="14" customFormat="1" x14ac:dyDescent="0.3">
      <c r="E16" s="63"/>
      <c r="K16" s="71" t="s">
        <v>236</v>
      </c>
      <c r="L16" s="68"/>
      <c r="M16" s="68"/>
      <c r="N16" s="68"/>
      <c r="O16" s="68"/>
      <c r="P16" s="68"/>
      <c r="Q16" s="68"/>
      <c r="R16" s="68"/>
      <c r="S16" s="68"/>
      <c r="T16" s="68"/>
      <c r="U16" s="68"/>
      <c r="V16" s="68"/>
      <c r="W16" s="68"/>
      <c r="X16" s="68"/>
      <c r="Y16" s="68"/>
      <c r="Z16" s="68"/>
      <c r="AA16" s="68"/>
    </row>
    <row r="17" spans="5:27" s="14" customFormat="1" x14ac:dyDescent="0.3">
      <c r="E17" s="63"/>
      <c r="K17" s="71" t="s">
        <v>236</v>
      </c>
      <c r="L17" s="68"/>
      <c r="M17" s="68"/>
      <c r="N17" s="68"/>
      <c r="O17" s="68"/>
      <c r="P17" s="68"/>
      <c r="Q17" s="68"/>
      <c r="R17" s="68"/>
      <c r="S17" s="68"/>
      <c r="T17" s="68"/>
      <c r="U17" s="68"/>
      <c r="V17" s="68"/>
      <c r="W17" s="68"/>
      <c r="X17" s="68"/>
      <c r="Y17" s="68"/>
      <c r="Z17" s="68"/>
      <c r="AA17" s="68"/>
    </row>
    <row r="18" spans="5:27" s="14" customFormat="1" x14ac:dyDescent="0.3">
      <c r="E18" s="63"/>
      <c r="K18" s="71" t="s">
        <v>236</v>
      </c>
      <c r="L18" s="68"/>
      <c r="M18" s="68"/>
      <c r="N18" s="68"/>
      <c r="O18" s="68"/>
      <c r="P18" s="68"/>
      <c r="Q18" s="68"/>
      <c r="R18" s="68"/>
      <c r="S18" s="68"/>
      <c r="T18" s="68"/>
      <c r="U18" s="68"/>
      <c r="V18" s="68"/>
      <c r="W18" s="68"/>
      <c r="X18" s="68"/>
      <c r="Y18" s="68"/>
      <c r="Z18" s="68"/>
      <c r="AA18" s="68"/>
    </row>
    <row r="19" spans="5:27" x14ac:dyDescent="0.25">
      <c r="F19" s="14"/>
      <c r="K19" s="71" t="s">
        <v>236</v>
      </c>
      <c r="L19" s="69"/>
      <c r="M19" s="69"/>
      <c r="N19" s="69"/>
      <c r="O19" s="69"/>
      <c r="P19" s="69"/>
      <c r="Q19" s="69"/>
      <c r="R19" s="69"/>
      <c r="S19" s="69"/>
      <c r="T19" s="69"/>
      <c r="U19" s="69"/>
      <c r="V19" s="69"/>
      <c r="W19" s="69"/>
      <c r="X19" s="69"/>
      <c r="Y19" s="69"/>
      <c r="Z19" s="69"/>
      <c r="AA19" s="69"/>
    </row>
    <row r="20" spans="5:27" s="14" customFormat="1" x14ac:dyDescent="0.3">
      <c r="E20" s="63"/>
      <c r="K20" s="71" t="s">
        <v>236</v>
      </c>
      <c r="L20" s="68"/>
      <c r="M20" s="68"/>
      <c r="N20" s="68"/>
      <c r="O20" s="68"/>
      <c r="P20" s="68"/>
      <c r="Q20" s="68"/>
      <c r="R20" s="68"/>
      <c r="S20" s="68"/>
      <c r="T20" s="68"/>
      <c r="U20" s="68"/>
      <c r="V20" s="68"/>
      <c r="W20" s="68"/>
      <c r="X20" s="68"/>
      <c r="Y20" s="68"/>
      <c r="Z20" s="68"/>
      <c r="AA20" s="68"/>
    </row>
    <row r="21" spans="5:27" s="14" customFormat="1" x14ac:dyDescent="0.25">
      <c r="E21" s="63"/>
      <c r="F21" s="1"/>
      <c r="K21" s="71" t="s">
        <v>236</v>
      </c>
      <c r="L21" s="68"/>
      <c r="M21" s="68"/>
      <c r="N21" s="68"/>
      <c r="O21" s="68"/>
      <c r="P21" s="68"/>
      <c r="Q21" s="68"/>
      <c r="R21" s="68"/>
      <c r="S21" s="68"/>
      <c r="T21" s="68"/>
      <c r="U21" s="68"/>
      <c r="V21" s="68"/>
      <c r="W21" s="68"/>
      <c r="X21" s="68"/>
      <c r="Y21" s="68"/>
      <c r="Z21" s="68"/>
      <c r="AA21" s="68"/>
    </row>
    <row r="22" spans="5:27" s="14" customFormat="1" x14ac:dyDescent="0.25">
      <c r="E22" s="63"/>
      <c r="F22" s="1"/>
      <c r="K22" s="71" t="s">
        <v>236</v>
      </c>
      <c r="L22" s="68"/>
      <c r="M22" s="68"/>
      <c r="N22" s="68"/>
      <c r="O22" s="68"/>
      <c r="P22" s="68"/>
      <c r="Q22" s="68"/>
      <c r="R22" s="68"/>
      <c r="S22" s="68"/>
      <c r="T22" s="68"/>
      <c r="U22" s="68"/>
      <c r="V22" s="68"/>
      <c r="W22" s="68"/>
      <c r="X22" s="68"/>
      <c r="Y22" s="68"/>
      <c r="Z22" s="68"/>
      <c r="AA22" s="68"/>
    </row>
    <row r="23" spans="5:27" s="14" customFormat="1" x14ac:dyDescent="0.25">
      <c r="E23" s="63"/>
      <c r="F23" s="1"/>
    </row>
    <row r="24" spans="5:27" s="14" customFormat="1" x14ac:dyDescent="0.25">
      <c r="E24" s="63"/>
      <c r="F24" s="1"/>
      <c r="K24" s="14" t="s">
        <v>234</v>
      </c>
    </row>
    <row r="25" spans="5:27" x14ac:dyDescent="0.25">
      <c r="K25" s="71" t="s">
        <v>236</v>
      </c>
      <c r="L25" s="68"/>
      <c r="M25" s="68"/>
      <c r="N25" s="68"/>
      <c r="O25" s="68"/>
      <c r="P25" s="68"/>
      <c r="Q25" s="68"/>
      <c r="R25" s="68"/>
      <c r="S25" s="68"/>
      <c r="T25" s="68"/>
      <c r="U25" s="68"/>
      <c r="V25" s="68"/>
      <c r="W25" s="68"/>
      <c r="X25" s="68"/>
      <c r="Y25" s="68"/>
      <c r="Z25" s="68"/>
      <c r="AA25" s="68"/>
    </row>
    <row r="26" spans="5:27" x14ac:dyDescent="0.25">
      <c r="K26" s="71" t="s">
        <v>236</v>
      </c>
      <c r="L26" s="68"/>
      <c r="M26" s="68"/>
      <c r="N26" s="68"/>
      <c r="O26" s="68"/>
      <c r="P26" s="68"/>
      <c r="Q26" s="68"/>
      <c r="R26" s="68"/>
      <c r="S26" s="68"/>
      <c r="T26" s="68"/>
      <c r="U26" s="68"/>
      <c r="V26" s="68"/>
      <c r="W26" s="68"/>
      <c r="X26" s="68"/>
      <c r="Y26" s="68"/>
      <c r="Z26" s="68"/>
      <c r="AA26" s="68"/>
    </row>
    <row r="27" spans="5:27" x14ac:dyDescent="0.25">
      <c r="K27" s="71" t="s">
        <v>236</v>
      </c>
      <c r="L27" s="68"/>
      <c r="M27" s="68"/>
      <c r="N27" s="68"/>
      <c r="O27" s="68"/>
      <c r="P27" s="68"/>
      <c r="Q27" s="68"/>
      <c r="R27" s="68"/>
      <c r="S27" s="68"/>
      <c r="T27" s="68"/>
      <c r="U27" s="68"/>
      <c r="V27" s="68"/>
      <c r="W27" s="68"/>
      <c r="X27" s="68"/>
      <c r="Y27" s="68"/>
      <c r="Z27" s="68"/>
      <c r="AA27" s="68"/>
    </row>
    <row r="28" spans="5:27" x14ac:dyDescent="0.25">
      <c r="K28" s="71" t="s">
        <v>236</v>
      </c>
      <c r="L28" s="69"/>
      <c r="M28" s="69"/>
      <c r="N28" s="69"/>
      <c r="O28" s="69"/>
      <c r="P28" s="69"/>
      <c r="Q28" s="69"/>
      <c r="R28" s="69"/>
      <c r="S28" s="69"/>
      <c r="T28" s="69"/>
      <c r="U28" s="69"/>
      <c r="V28" s="69"/>
      <c r="W28" s="69"/>
      <c r="X28" s="69"/>
      <c r="Y28" s="69"/>
      <c r="Z28" s="69"/>
      <c r="AA28" s="69"/>
    </row>
    <row r="29" spans="5:27" x14ac:dyDescent="0.25">
      <c r="K29" s="71" t="s">
        <v>236</v>
      </c>
      <c r="L29" s="68"/>
      <c r="M29" s="68"/>
      <c r="N29" s="68"/>
      <c r="O29" s="68"/>
      <c r="P29" s="68"/>
      <c r="Q29" s="68"/>
      <c r="R29" s="68"/>
      <c r="S29" s="68"/>
      <c r="T29" s="68"/>
      <c r="U29" s="68"/>
      <c r="V29" s="68"/>
      <c r="W29" s="68"/>
      <c r="X29" s="68"/>
      <c r="Y29" s="68"/>
      <c r="Z29" s="68"/>
      <c r="AA29" s="68"/>
    </row>
    <row r="30" spans="5:27" x14ac:dyDescent="0.25">
      <c r="K30" s="71" t="s">
        <v>236</v>
      </c>
      <c r="L30" s="68"/>
      <c r="M30" s="68"/>
      <c r="N30" s="68"/>
      <c r="O30" s="68"/>
      <c r="P30" s="68"/>
      <c r="Q30" s="68"/>
      <c r="R30" s="68"/>
      <c r="S30" s="68"/>
      <c r="T30" s="68"/>
      <c r="U30" s="68"/>
      <c r="V30" s="68"/>
      <c r="W30" s="68"/>
      <c r="X30" s="68"/>
      <c r="Y30" s="68"/>
      <c r="Z30" s="68"/>
      <c r="AA30" s="68"/>
    </row>
    <row r="31" spans="5:27" x14ac:dyDescent="0.25">
      <c r="K31" s="71" t="s">
        <v>236</v>
      </c>
      <c r="L31" s="68"/>
      <c r="M31" s="68"/>
      <c r="N31" s="68"/>
      <c r="O31" s="68"/>
      <c r="P31" s="68"/>
      <c r="Q31" s="68"/>
      <c r="R31" s="68"/>
      <c r="S31" s="68"/>
      <c r="T31" s="68"/>
      <c r="U31" s="68"/>
      <c r="V31" s="68"/>
      <c r="W31" s="68"/>
      <c r="X31" s="68"/>
      <c r="Y31" s="68"/>
      <c r="Z31" s="68"/>
      <c r="AA31" s="68"/>
    </row>
    <row r="32" spans="5:27" x14ac:dyDescent="0.25">
      <c r="K32" s="14"/>
      <c r="L32" s="14"/>
      <c r="M32" s="14"/>
      <c r="N32" s="14"/>
      <c r="O32" s="14"/>
      <c r="P32" s="14"/>
      <c r="Q32" s="14"/>
      <c r="R32" s="14"/>
    </row>
  </sheetData>
  <mergeCells count="4">
    <mergeCell ref="B2:C2"/>
    <mergeCell ref="B3:C3"/>
    <mergeCell ref="B4:C4"/>
    <mergeCell ref="P6:T10"/>
  </mergeCells>
  <hyperlinks>
    <hyperlink ref="B4" location="'SOE DETAILS'!A1" display="SOE DETAILS" xr:uid="{1AE053F6-401C-45A6-8021-DCA3A8694D91}"/>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8321F-B0E1-4B3C-ACE8-72765AF5354B}">
  <sheetPr codeName="Sheet6">
    <tabColor theme="4" tint="-0.249977111117893"/>
  </sheetPr>
  <dimension ref="B2:AC38"/>
  <sheetViews>
    <sheetView showGridLines="0" zoomScale="85" zoomScaleNormal="85" workbookViewId="0">
      <selection activeCell="O30" sqref="O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34.5546875" style="1" customWidth="1"/>
    <col min="7" max="10" width="12.5546875" style="1" customWidth="1"/>
    <col min="11" max="15" width="9.21875" style="1"/>
    <col min="16" max="20" width="11" style="1" customWidth="1"/>
    <col min="21" max="25" width="9.21875" style="1"/>
    <col min="26" max="26" width="6.77734375" style="1" bestFit="1" customWidth="1"/>
    <col min="27" max="27" width="9.44140625" style="1" bestFit="1" customWidth="1"/>
    <col min="28" max="16384" width="9.21875" style="1"/>
  </cols>
  <sheetData>
    <row r="2" spans="2:29" x14ac:dyDescent="0.25">
      <c r="B2" s="374" t="s">
        <v>191</v>
      </c>
      <c r="C2" s="374"/>
      <c r="F2" s="17" t="s">
        <v>193</v>
      </c>
      <c r="G2" s="16"/>
      <c r="H2" s="16"/>
      <c r="I2" s="16"/>
      <c r="J2" s="16"/>
      <c r="K2" s="16"/>
      <c r="L2" s="16"/>
      <c r="M2" s="16"/>
      <c r="N2" s="16"/>
      <c r="O2" s="16"/>
      <c r="P2" s="16"/>
      <c r="Q2" s="16"/>
      <c r="R2" s="16"/>
      <c r="S2" s="16"/>
      <c r="T2" s="16"/>
      <c r="U2" s="16"/>
      <c r="V2" s="16"/>
      <c r="W2" s="16"/>
      <c r="X2" s="16"/>
      <c r="Y2" s="16"/>
      <c r="Z2" s="16"/>
      <c r="AA2" s="16"/>
      <c r="AB2" s="16"/>
    </row>
    <row r="3" spans="2:29" x14ac:dyDescent="0.25">
      <c r="B3" s="375" t="s">
        <v>192</v>
      </c>
      <c r="C3" s="375"/>
      <c r="F3" s="18" t="s">
        <v>188</v>
      </c>
      <c r="G3" s="10"/>
      <c r="H3" s="10"/>
      <c r="I3" s="10"/>
      <c r="J3" s="10"/>
      <c r="K3" s="10"/>
      <c r="L3" s="10"/>
      <c r="M3" s="10"/>
      <c r="N3" s="10"/>
      <c r="O3" s="10"/>
      <c r="P3" s="10"/>
      <c r="Q3" s="10"/>
      <c r="R3" s="10"/>
      <c r="S3" s="10"/>
      <c r="T3" s="10"/>
      <c r="U3" s="10"/>
      <c r="V3" s="10"/>
      <c r="W3" s="10"/>
      <c r="X3" s="10"/>
      <c r="Y3" s="10"/>
      <c r="Z3" s="10"/>
      <c r="AA3" s="10"/>
      <c r="AB3" s="10"/>
    </row>
    <row r="4" spans="2:29" ht="20.399999999999999" x14ac:dyDescent="0.25">
      <c r="B4" s="398" t="s">
        <v>189</v>
      </c>
      <c r="C4" s="398"/>
      <c r="F4" s="12" t="s">
        <v>194</v>
      </c>
      <c r="G4" s="11"/>
      <c r="H4" s="11"/>
      <c r="I4" s="11"/>
      <c r="J4" s="11"/>
      <c r="K4" s="11"/>
      <c r="L4" s="11"/>
      <c r="M4" s="11"/>
      <c r="N4" s="11"/>
      <c r="O4" s="11"/>
      <c r="P4" s="11"/>
      <c r="Q4" s="11"/>
      <c r="R4" s="11"/>
      <c r="S4" s="11"/>
      <c r="T4" s="11"/>
      <c r="U4" s="11"/>
      <c r="V4" s="11"/>
      <c r="W4" s="11"/>
      <c r="X4" s="11"/>
      <c r="Y4" s="11"/>
      <c r="Z4" s="11"/>
      <c r="AA4" s="11"/>
      <c r="AB4" s="11"/>
    </row>
    <row r="6" spans="2:29" x14ac:dyDescent="0.25">
      <c r="F6" s="25"/>
      <c r="G6" s="280" t="str">
        <f>'FINANŠU MĒRĶU NOTEIKŠANA'!H117</f>
        <v/>
      </c>
      <c r="H6" s="44" t="s">
        <v>456</v>
      </c>
    </row>
    <row r="7" spans="2:29" x14ac:dyDescent="0.25">
      <c r="F7" s="25"/>
      <c r="H7" s="44"/>
      <c r="L7" s="14" t="s">
        <v>233</v>
      </c>
      <c r="M7" s="14"/>
      <c r="N7" s="14"/>
      <c r="O7" s="14"/>
      <c r="P7" s="14"/>
      <c r="Q7" s="14"/>
      <c r="R7" s="14"/>
      <c r="S7" s="14"/>
    </row>
    <row r="8" spans="2:29" x14ac:dyDescent="0.25">
      <c r="F8" s="25"/>
      <c r="G8" s="280">
        <f>'FINANŠU MĒRĶU NOTEIKŠANA'!H121</f>
        <v>0</v>
      </c>
      <c r="H8" s="44" t="s">
        <v>449</v>
      </c>
      <c r="L8" s="71" t="s">
        <v>236</v>
      </c>
      <c r="M8" s="68"/>
      <c r="N8" s="68"/>
      <c r="O8" s="68"/>
      <c r="P8" s="68"/>
      <c r="Q8" s="68"/>
      <c r="R8" s="68"/>
      <c r="S8" s="68"/>
      <c r="T8" s="68"/>
      <c r="U8" s="68"/>
      <c r="V8" s="68"/>
      <c r="W8" s="68"/>
    </row>
    <row r="9" spans="2:29" x14ac:dyDescent="0.25">
      <c r="F9" s="25"/>
      <c r="G9" s="44"/>
      <c r="H9" s="44"/>
      <c r="L9" s="71" t="s">
        <v>236</v>
      </c>
      <c r="M9" s="68"/>
      <c r="N9" s="68"/>
      <c r="O9" s="68"/>
      <c r="P9" s="68"/>
      <c r="Q9" s="68"/>
      <c r="R9" s="68"/>
      <c r="S9" s="68"/>
      <c r="T9" s="68"/>
      <c r="U9" s="68"/>
      <c r="V9" s="68"/>
      <c r="W9" s="68"/>
    </row>
    <row r="10" spans="2:29" x14ac:dyDescent="0.25">
      <c r="F10" s="25"/>
      <c r="G10" s="280">
        <f>'FINANŠU MĒRĶU NOTEIKŠANA'!H126</f>
        <v>0</v>
      </c>
      <c r="H10" s="44" t="s">
        <v>450</v>
      </c>
      <c r="L10" s="71" t="s">
        <v>236</v>
      </c>
      <c r="M10" s="68"/>
      <c r="N10" s="68"/>
      <c r="O10" s="68"/>
      <c r="P10" s="68"/>
      <c r="Q10" s="68"/>
      <c r="R10" s="68"/>
      <c r="S10" s="68"/>
      <c r="T10" s="68"/>
      <c r="U10" s="68"/>
      <c r="V10" s="68"/>
      <c r="W10" s="68"/>
    </row>
    <row r="11" spans="2:29" s="14" customFormat="1" x14ac:dyDescent="0.3">
      <c r="E11" s="63"/>
      <c r="F11" s="25"/>
      <c r="L11" s="71" t="s">
        <v>236</v>
      </c>
      <c r="M11" s="68"/>
      <c r="N11" s="68"/>
      <c r="O11" s="68"/>
      <c r="P11" s="68"/>
      <c r="Q11" s="68"/>
      <c r="R11" s="68"/>
      <c r="S11" s="68"/>
      <c r="T11" s="68"/>
      <c r="U11" s="68"/>
      <c r="V11" s="68"/>
      <c r="W11" s="68"/>
      <c r="Y11" s="52" t="s">
        <v>239</v>
      </c>
    </row>
    <row r="12" spans="2:29" s="14" customFormat="1" x14ac:dyDescent="0.3">
      <c r="E12" s="63"/>
      <c r="F12" s="116" t="s">
        <v>370</v>
      </c>
      <c r="G12" s="8" t="s">
        <v>178</v>
      </c>
      <c r="H12" s="27" t="s">
        <v>347</v>
      </c>
      <c r="I12" s="27" t="s">
        <v>348</v>
      </c>
      <c r="J12" s="27" t="s">
        <v>349</v>
      </c>
      <c r="L12" s="71" t="s">
        <v>236</v>
      </c>
      <c r="M12" s="68"/>
      <c r="N12" s="68"/>
      <c r="O12" s="68"/>
      <c r="P12" s="68"/>
      <c r="Q12" s="68"/>
      <c r="R12" s="68"/>
      <c r="S12" s="68"/>
      <c r="T12" s="68"/>
      <c r="U12" s="68"/>
      <c r="V12" s="68"/>
      <c r="W12" s="68"/>
      <c r="Y12" s="75" t="s">
        <v>237</v>
      </c>
      <c r="Z12" s="285">
        <f>ROUNDDOWN(MIN(G6,G22,G32,G31,H22,I22,J22),2)</f>
        <v>0</v>
      </c>
      <c r="AA12" s="77" t="e" cm="1">
        <f t="array" aca="1" ref="AA12" ca="1">setChartAxis("COM_RT","Chart COM_RT1","Min","Value","Primary",Z12)</f>
        <v>#NAME?</v>
      </c>
      <c r="AB12" s="77"/>
      <c r="AC12" s="78"/>
    </row>
    <row r="13" spans="2:29" s="14" customFormat="1" ht="14.4" x14ac:dyDescent="0.3">
      <c r="E13" s="63"/>
      <c r="F13" s="25" t="s">
        <v>353</v>
      </c>
      <c r="G13" s="355"/>
      <c r="H13" s="355"/>
      <c r="I13" s="355"/>
      <c r="J13" s="355"/>
      <c r="K13" s="29"/>
      <c r="L13" s="71" t="s">
        <v>236</v>
      </c>
      <c r="M13" s="68"/>
      <c r="N13" s="68"/>
      <c r="O13" s="68"/>
      <c r="P13" s="68"/>
      <c r="Q13" s="68"/>
      <c r="R13" s="68"/>
      <c r="S13" s="68"/>
      <c r="T13" s="68"/>
      <c r="U13" s="68"/>
      <c r="V13" s="68"/>
      <c r="W13" s="68"/>
      <c r="Y13" s="79" t="s">
        <v>238</v>
      </c>
      <c r="Z13" s="286">
        <f>ROUNDUP(MAX(G6,G22,G32,G31,H22,I22,J22),2)</f>
        <v>0</v>
      </c>
      <c r="AA13" s="81" t="e" cm="1">
        <f t="array" aca="1" ref="AA13" ca="1">setChartAxis("COM_RT","Chart COM_RT1","Max","Value","Primary",Z13)</f>
        <v>#NAME?</v>
      </c>
      <c r="AB13" s="81"/>
      <c r="AC13" s="82"/>
    </row>
    <row r="14" spans="2:29" s="14" customFormat="1" x14ac:dyDescent="0.3">
      <c r="E14" s="63"/>
      <c r="F14" s="25" t="s">
        <v>224</v>
      </c>
      <c r="G14" s="321" t="str">
        <f>IFERROR(G13/SUM(G13,G15,G17),"")</f>
        <v/>
      </c>
      <c r="H14" s="321" t="str">
        <f>IFERROR(H13/SUM(H13,H15,H17),"")</f>
        <v/>
      </c>
      <c r="I14" s="321" t="str">
        <f t="shared" ref="I14:J14" si="0">IFERROR(I13/SUM(I13,I15,I17),"")</f>
        <v/>
      </c>
      <c r="J14" s="321" t="str">
        <f t="shared" si="0"/>
        <v/>
      </c>
      <c r="L14" s="71" t="s">
        <v>236</v>
      </c>
      <c r="M14" s="68"/>
      <c r="N14" s="68"/>
      <c r="O14" s="68"/>
      <c r="P14" s="68"/>
      <c r="Q14" s="68"/>
      <c r="R14" s="68"/>
      <c r="S14" s="68"/>
      <c r="T14" s="68"/>
      <c r="U14" s="68"/>
      <c r="V14" s="68"/>
      <c r="W14" s="68"/>
      <c r="Y14" s="52"/>
      <c r="Z14" s="52"/>
      <c r="AA14" s="52"/>
      <c r="AB14" s="52"/>
      <c r="AC14" s="52"/>
    </row>
    <row r="15" spans="2:29" s="14" customFormat="1" ht="14.4" x14ac:dyDescent="0.3">
      <c r="E15" s="63"/>
      <c r="F15" s="25" t="s">
        <v>354</v>
      </c>
      <c r="G15" s="355"/>
      <c r="H15" s="355"/>
      <c r="I15" s="355"/>
      <c r="J15" s="355"/>
      <c r="K15" s="37"/>
      <c r="L15" s="71" t="s">
        <v>236</v>
      </c>
      <c r="M15" s="68"/>
      <c r="N15" s="68"/>
      <c r="O15" s="68"/>
      <c r="P15" s="68"/>
      <c r="Q15" s="68"/>
      <c r="R15" s="68"/>
      <c r="S15" s="68"/>
      <c r="T15" s="68"/>
      <c r="U15" s="68"/>
      <c r="V15" s="68"/>
      <c r="W15" s="68"/>
      <c r="Y15" s="75" t="s">
        <v>237</v>
      </c>
      <c r="Z15" s="285">
        <f>ROUNDDOWN(MIN(G8,G24,H24,I24,G34,G35,J24),2)</f>
        <v>0</v>
      </c>
      <c r="AA15" s="77" t="e" cm="1">
        <f t="array" aca="1" ref="AA15" ca="1">setChartAxis("COM_RT","Chart COM_RT2","Min","Value","Primary",Z15)</f>
        <v>#NAME?</v>
      </c>
      <c r="AB15" s="77"/>
      <c r="AC15" s="78"/>
    </row>
    <row r="16" spans="2:29" s="14" customFormat="1" x14ac:dyDescent="0.3">
      <c r="E16" s="63"/>
      <c r="F16" s="25" t="s">
        <v>225</v>
      </c>
      <c r="G16" s="223" t="str">
        <f t="shared" ref="G16" si="1">IFERROR(G15/SUM(G13,G15,G17),"")</f>
        <v/>
      </c>
      <c r="H16" s="223" t="str">
        <f t="shared" ref="H16:J16" si="2">IFERROR(H15/SUM(H13,H15,H17),"")</f>
        <v/>
      </c>
      <c r="I16" s="223" t="str">
        <f t="shared" si="2"/>
        <v/>
      </c>
      <c r="J16" s="223" t="str">
        <f t="shared" si="2"/>
        <v/>
      </c>
      <c r="L16" s="71" t="s">
        <v>236</v>
      </c>
      <c r="M16" s="68"/>
      <c r="N16" s="68"/>
      <c r="O16" s="68"/>
      <c r="P16" s="68"/>
      <c r="Q16" s="68"/>
      <c r="R16" s="68"/>
      <c r="S16" s="68"/>
      <c r="T16" s="68"/>
      <c r="U16" s="68"/>
      <c r="V16" s="68"/>
      <c r="W16" s="68"/>
      <c r="Y16" s="79" t="s">
        <v>238</v>
      </c>
      <c r="Z16" s="286">
        <f>ROUNDUP(MAX(G8,G24,H24,I24,G34,G35,J24),2)</f>
        <v>0</v>
      </c>
      <c r="AA16" s="81" t="e" cm="1">
        <f t="array" aca="1" ref="AA16" ca="1">setChartAxis("COM_RT","Chart COM_RT2","Max","Value","Primary",Z16)</f>
        <v>#NAME?</v>
      </c>
      <c r="AB16" s="81"/>
      <c r="AC16" s="82"/>
    </row>
    <row r="17" spans="5:29" s="14" customFormat="1" ht="14.4" x14ac:dyDescent="0.3">
      <c r="E17" s="63"/>
      <c r="F17" s="25" t="s">
        <v>355</v>
      </c>
      <c r="G17" s="355"/>
      <c r="H17" s="355"/>
      <c r="I17" s="355"/>
      <c r="J17" s="355"/>
      <c r="K17" s="37"/>
      <c r="L17" s="27"/>
      <c r="Y17" s="52"/>
      <c r="Z17" s="119"/>
      <c r="AA17" s="52"/>
      <c r="AB17" s="52"/>
      <c r="AC17" s="52"/>
    </row>
    <row r="18" spans="5:29" s="14" customFormat="1" x14ac:dyDescent="0.3">
      <c r="E18" s="63"/>
      <c r="F18" s="25" t="s">
        <v>259</v>
      </c>
      <c r="G18" s="223" t="str">
        <f t="shared" ref="G18" si="3">IFERROR(G17/SUM(G13,G15,G17),"")</f>
        <v/>
      </c>
      <c r="H18" s="223" t="str">
        <f t="shared" ref="H18:J18" si="4">IFERROR(H17/SUM(H13,H15,H17),"")</f>
        <v/>
      </c>
      <c r="I18" s="223" t="str">
        <f t="shared" si="4"/>
        <v/>
      </c>
      <c r="J18" s="223" t="str">
        <f t="shared" si="4"/>
        <v/>
      </c>
      <c r="L18" s="14" t="s">
        <v>234</v>
      </c>
      <c r="Y18" s="75" t="s">
        <v>237</v>
      </c>
      <c r="Z18" s="285">
        <f>ROUNDDOWN(MIN(G10,G26,H26,I26,G37,G38,J26),2)</f>
        <v>0</v>
      </c>
      <c r="AA18" s="77" t="e" cm="1">
        <f t="array" aca="1" ref="AA18" ca="1">setChartAxis("COM_RT","Chart COM_RT3","Min","Value","Primary",Z18)</f>
        <v>#NAME?</v>
      </c>
      <c r="AB18" s="77"/>
      <c r="AC18" s="78"/>
    </row>
    <row r="19" spans="5:29" s="14" customFormat="1" x14ac:dyDescent="0.3">
      <c r="E19" s="63"/>
      <c r="F19" s="25"/>
      <c r="L19" s="71" t="s">
        <v>236</v>
      </c>
      <c r="M19" s="68"/>
      <c r="N19" s="68"/>
      <c r="O19" s="68"/>
      <c r="P19" s="68"/>
      <c r="Q19" s="68"/>
      <c r="R19" s="68"/>
      <c r="S19" s="68"/>
      <c r="T19" s="68"/>
      <c r="U19" s="68"/>
      <c r="V19" s="68"/>
      <c r="W19" s="68"/>
      <c r="Y19" s="79" t="s">
        <v>238</v>
      </c>
      <c r="Z19" s="286">
        <f>ROUNDUP(MAX(G10,G26,H26,I26,G37,G38,J26),2)</f>
        <v>0</v>
      </c>
      <c r="AA19" s="81" t="e" cm="1">
        <f t="array" aca="1" ref="AA19" ca="1">setChartAxis("COM_RT","Chart COM_RT3","Max","Value","Primary",Z19)</f>
        <v>#NAME?</v>
      </c>
      <c r="AB19" s="81"/>
      <c r="AC19" s="82"/>
    </row>
    <row r="20" spans="5:29" s="14" customFormat="1" x14ac:dyDescent="0.3">
      <c r="E20" s="63"/>
      <c r="L20" s="71" t="s">
        <v>236</v>
      </c>
      <c r="M20" s="68"/>
      <c r="N20" s="68"/>
      <c r="O20" s="68"/>
      <c r="P20" s="68"/>
      <c r="Q20" s="68"/>
      <c r="R20" s="68"/>
      <c r="S20" s="68"/>
      <c r="T20" s="68"/>
      <c r="U20" s="68"/>
      <c r="V20" s="68"/>
      <c r="W20" s="68"/>
    </row>
    <row r="21" spans="5:29" s="14" customFormat="1" x14ac:dyDescent="0.3">
      <c r="E21" s="63"/>
      <c r="F21" s="116" t="s">
        <v>370</v>
      </c>
      <c r="G21" s="8" t="s">
        <v>178</v>
      </c>
      <c r="H21" s="27" t="s">
        <v>347</v>
      </c>
      <c r="I21" s="27" t="s">
        <v>348</v>
      </c>
      <c r="J21" s="27" t="s">
        <v>349</v>
      </c>
      <c r="L21" s="71" t="s">
        <v>236</v>
      </c>
      <c r="M21" s="68"/>
      <c r="N21" s="68"/>
      <c r="O21" s="68"/>
      <c r="P21" s="68"/>
      <c r="Q21" s="68"/>
      <c r="R21" s="68"/>
      <c r="S21" s="68"/>
      <c r="T21" s="68"/>
      <c r="U21" s="68"/>
      <c r="V21" s="68"/>
      <c r="W21" s="68"/>
      <c r="Y21" s="75" t="s">
        <v>237</v>
      </c>
      <c r="Z21" s="322">
        <v>0</v>
      </c>
      <c r="AA21" s="77" t="e" cm="1">
        <f t="array" aca="1" ref="AA21" ca="1">setChartAxis("COM_RT","Chart COM_RT4","Min","Value","Primary",Z21)</f>
        <v>#NAME?</v>
      </c>
      <c r="AB21" s="77"/>
      <c r="AC21" s="78"/>
    </row>
    <row r="22" spans="5:29" s="14" customFormat="1" ht="14.4" x14ac:dyDescent="0.25">
      <c r="E22" s="63"/>
      <c r="F22" s="2" t="s">
        <v>222</v>
      </c>
      <c r="G22" s="258"/>
      <c r="H22" s="258"/>
      <c r="I22" s="258"/>
      <c r="J22" s="258"/>
      <c r="K22" s="29"/>
      <c r="L22" s="71" t="s">
        <v>236</v>
      </c>
      <c r="M22" s="69"/>
      <c r="N22" s="69"/>
      <c r="O22" s="69"/>
      <c r="P22" s="69"/>
      <c r="Q22" s="69"/>
      <c r="R22" s="69"/>
      <c r="S22" s="69"/>
      <c r="T22" s="68"/>
      <c r="U22" s="68"/>
      <c r="V22" s="68"/>
      <c r="W22" s="68"/>
      <c r="Y22" s="79" t="s">
        <v>238</v>
      </c>
      <c r="Z22" s="323">
        <f>ROUNDUP(MAX(SUM(G13,G15,G17),SUM(H13,H15,H17),SUM(I13,I15,I17),SUM(J13,J15,J17)),2)</f>
        <v>0</v>
      </c>
      <c r="AA22" s="81" t="e" cm="1">
        <f t="array" aca="1" ref="AA22" ca="1">setChartAxis("COM_RT","Chart COM_RT4","Max","Value","Primary",Z22)</f>
        <v>#NAME?</v>
      </c>
      <c r="AB22" s="81"/>
      <c r="AC22" s="82"/>
    </row>
    <row r="23" spans="5:29" s="14" customFormat="1" ht="14.4" x14ac:dyDescent="0.3">
      <c r="E23" s="63"/>
      <c r="F23" s="319" t="s">
        <v>371</v>
      </c>
      <c r="G23" s="324"/>
      <c r="H23" s="324"/>
      <c r="I23" s="324"/>
      <c r="J23" s="324"/>
      <c r="K23" s="29"/>
      <c r="L23" s="71" t="s">
        <v>236</v>
      </c>
      <c r="M23" s="68"/>
      <c r="N23" s="68"/>
      <c r="O23" s="68"/>
      <c r="P23" s="68"/>
      <c r="Q23" s="68"/>
      <c r="R23" s="68"/>
      <c r="S23" s="68"/>
      <c r="T23" s="68"/>
      <c r="U23" s="68"/>
      <c r="V23" s="68"/>
      <c r="W23" s="68"/>
    </row>
    <row r="24" spans="5:29" s="14" customFormat="1" ht="14.4" x14ac:dyDescent="0.25">
      <c r="E24" s="63"/>
      <c r="F24" s="2" t="s">
        <v>223</v>
      </c>
      <c r="G24" s="258"/>
      <c r="H24" s="258"/>
      <c r="I24" s="258"/>
      <c r="J24" s="258"/>
      <c r="K24" s="37"/>
      <c r="L24" s="71" t="s">
        <v>236</v>
      </c>
      <c r="M24" s="68"/>
      <c r="N24" s="68"/>
      <c r="O24" s="68"/>
      <c r="P24" s="68"/>
      <c r="Q24" s="68"/>
      <c r="R24" s="68"/>
      <c r="S24" s="68"/>
      <c r="T24" s="68"/>
      <c r="U24" s="68"/>
      <c r="V24" s="68"/>
      <c r="W24" s="68"/>
    </row>
    <row r="25" spans="5:29" s="14" customFormat="1" x14ac:dyDescent="0.3">
      <c r="E25" s="63"/>
      <c r="F25" s="319" t="s">
        <v>371</v>
      </c>
      <c r="G25" s="324"/>
      <c r="H25" s="324"/>
      <c r="I25" s="324"/>
      <c r="J25" s="324"/>
      <c r="L25" s="71" t="s">
        <v>236</v>
      </c>
      <c r="M25" s="68"/>
      <c r="N25" s="68"/>
      <c r="O25" s="68"/>
      <c r="P25" s="68"/>
      <c r="Q25" s="68"/>
      <c r="R25" s="68"/>
      <c r="S25" s="68"/>
      <c r="T25" s="68"/>
      <c r="U25" s="68"/>
      <c r="V25" s="68"/>
      <c r="W25" s="68"/>
    </row>
    <row r="26" spans="5:29" ht="14.4" x14ac:dyDescent="0.25">
      <c r="F26" s="2" t="s">
        <v>258</v>
      </c>
      <c r="G26" s="258"/>
      <c r="H26" s="258"/>
      <c r="I26" s="258"/>
      <c r="J26" s="258"/>
      <c r="K26" s="37"/>
      <c r="L26" s="71" t="s">
        <v>236</v>
      </c>
      <c r="M26" s="68"/>
      <c r="N26" s="68"/>
      <c r="O26" s="68"/>
      <c r="P26" s="68"/>
      <c r="Q26" s="68"/>
      <c r="R26" s="68"/>
      <c r="S26" s="68"/>
      <c r="T26" s="68"/>
      <c r="U26" s="68"/>
      <c r="V26" s="68"/>
      <c r="W26" s="68"/>
    </row>
    <row r="27" spans="5:29" s="14" customFormat="1" x14ac:dyDescent="0.3">
      <c r="E27" s="63"/>
      <c r="F27" s="319" t="s">
        <v>371</v>
      </c>
      <c r="G27" s="324">
        <f>Z19</f>
        <v>0</v>
      </c>
      <c r="H27" s="324">
        <f>Z19</f>
        <v>0</v>
      </c>
      <c r="I27" s="324">
        <f>Z19</f>
        <v>0</v>
      </c>
      <c r="J27" s="324">
        <f>Z19</f>
        <v>0</v>
      </c>
      <c r="L27" s="71" t="s">
        <v>236</v>
      </c>
      <c r="M27" s="68"/>
      <c r="N27" s="68"/>
      <c r="O27" s="68"/>
      <c r="P27" s="68"/>
      <c r="Q27" s="68"/>
      <c r="R27" s="68"/>
      <c r="S27" s="68"/>
      <c r="T27" s="68"/>
      <c r="U27" s="68"/>
      <c r="V27" s="68"/>
      <c r="W27" s="68"/>
    </row>
    <row r="28" spans="5:29" s="14" customFormat="1" x14ac:dyDescent="0.25">
      <c r="E28" s="63"/>
      <c r="M28" s="1"/>
    </row>
    <row r="29" spans="5:29" s="14" customFormat="1" ht="15" customHeight="1" x14ac:dyDescent="0.25">
      <c r="E29" s="63"/>
      <c r="N29" s="1"/>
      <c r="P29" s="379" t="s">
        <v>442</v>
      </c>
      <c r="Q29" s="379"/>
      <c r="R29" s="379"/>
      <c r="S29" s="379"/>
      <c r="T29" s="379"/>
    </row>
    <row r="30" spans="5:29" s="14" customFormat="1" ht="14.25" customHeight="1" x14ac:dyDescent="0.25">
      <c r="E30" s="63"/>
      <c r="N30" s="1"/>
      <c r="P30" s="379"/>
      <c r="Q30" s="379"/>
      <c r="R30" s="379"/>
      <c r="S30" s="379"/>
      <c r="T30" s="379"/>
    </row>
    <row r="31" spans="5:29" x14ac:dyDescent="0.25">
      <c r="F31" s="25" t="s">
        <v>188</v>
      </c>
      <c r="G31" s="280" t="str">
        <f>IFERROR(IF(G6&lt;6.5%,G6*0.75,G6*0.85),"")</f>
        <v/>
      </c>
      <c r="H31" s="14" t="s">
        <v>350</v>
      </c>
      <c r="I31" s="14"/>
      <c r="J31" s="14"/>
      <c r="K31" s="14"/>
      <c r="L31" s="14"/>
      <c r="M31" s="14"/>
      <c r="O31" s="14"/>
      <c r="P31" s="379"/>
      <c r="Q31" s="379"/>
      <c r="R31" s="379"/>
      <c r="S31" s="379"/>
      <c r="T31" s="379"/>
      <c r="U31" s="14"/>
      <c r="V31" s="14"/>
      <c r="W31" s="14"/>
    </row>
    <row r="32" spans="5:29" s="14" customFormat="1" x14ac:dyDescent="0.25">
      <c r="E32" s="63"/>
      <c r="F32" s="25" t="s">
        <v>188</v>
      </c>
      <c r="G32" s="280" t="str">
        <f>IFERROR(IF(G6&lt;6.5%,G6*1.25,G6*1.15),"")</f>
        <v/>
      </c>
      <c r="H32" s="14" t="s">
        <v>351</v>
      </c>
      <c r="I32" s="1"/>
      <c r="J32" s="1"/>
      <c r="K32" s="1"/>
      <c r="L32" s="1"/>
      <c r="M32" s="1"/>
      <c r="N32" s="1"/>
      <c r="P32" s="379"/>
      <c r="Q32" s="379"/>
      <c r="R32" s="379"/>
      <c r="S32" s="379"/>
      <c r="T32" s="379"/>
    </row>
    <row r="33" spans="5:25" s="14" customFormat="1" x14ac:dyDescent="0.25">
      <c r="E33" s="63"/>
      <c r="M33" s="1"/>
      <c r="N33" s="1"/>
      <c r="O33" s="1"/>
      <c r="P33" s="379"/>
      <c r="Q33" s="379"/>
      <c r="R33" s="379"/>
      <c r="S33" s="379"/>
      <c r="T33" s="379"/>
    </row>
    <row r="34" spans="5:25" s="14" customFormat="1" x14ac:dyDescent="0.25">
      <c r="E34" s="63"/>
      <c r="F34" s="25" t="s">
        <v>181</v>
      </c>
      <c r="G34" s="280">
        <f>IFERROR(IF(G8&lt;6.5%,G8*0.75,G8*0.85),"")</f>
        <v>0</v>
      </c>
      <c r="H34" s="14" t="s">
        <v>350</v>
      </c>
      <c r="I34" s="1"/>
      <c r="J34" s="1"/>
      <c r="K34" s="1"/>
      <c r="L34" s="1"/>
      <c r="N34" s="1"/>
      <c r="O34" s="1"/>
      <c r="P34" s="1"/>
      <c r="Q34" s="1"/>
      <c r="R34" s="1"/>
      <c r="S34" s="1"/>
      <c r="T34" s="1"/>
    </row>
    <row r="35" spans="5:25" s="14" customFormat="1" x14ac:dyDescent="0.25">
      <c r="E35" s="63"/>
      <c r="F35" s="25" t="s">
        <v>181</v>
      </c>
      <c r="G35" s="280">
        <f>IFERROR(IF(G8&lt;6.5%,G8*1.25,G8*1.15),"")</f>
        <v>0</v>
      </c>
      <c r="H35" s="14" t="s">
        <v>351</v>
      </c>
      <c r="I35" s="1"/>
      <c r="J35" s="1"/>
      <c r="K35" s="1"/>
      <c r="L35" s="1"/>
      <c r="M35" s="1"/>
      <c r="N35" s="1"/>
      <c r="O35" s="1"/>
      <c r="P35" s="38" t="s">
        <v>202</v>
      </c>
      <c r="Q35" s="38"/>
      <c r="R35" s="38"/>
      <c r="S35" s="38"/>
      <c r="T35" s="38"/>
    </row>
    <row r="36" spans="5:25" s="14" customFormat="1" x14ac:dyDescent="0.25">
      <c r="E36" s="63"/>
      <c r="M36" s="1"/>
      <c r="N36" s="1"/>
      <c r="O36" s="1"/>
      <c r="P36" s="1" t="s">
        <v>352</v>
      </c>
      <c r="U36" s="38"/>
      <c r="V36" s="38"/>
      <c r="W36" s="38"/>
      <c r="X36" s="38"/>
      <c r="Y36" s="38"/>
    </row>
    <row r="37" spans="5:25" s="14" customFormat="1" x14ac:dyDescent="0.25">
      <c r="E37" s="63"/>
      <c r="F37" s="25" t="s">
        <v>260</v>
      </c>
      <c r="G37" s="280">
        <f>IFERROR(IF(G10&lt;6.5%,G10*0.75,G10*0.85),"")</f>
        <v>0</v>
      </c>
      <c r="H37" s="14" t="s">
        <v>350</v>
      </c>
      <c r="K37" s="1"/>
      <c r="L37" s="1"/>
      <c r="N37" s="1"/>
      <c r="O37" s="1"/>
      <c r="P37" s="1"/>
    </row>
    <row r="38" spans="5:25" s="14" customFormat="1" x14ac:dyDescent="0.25">
      <c r="E38" s="63"/>
      <c r="F38" s="25" t="s">
        <v>261</v>
      </c>
      <c r="G38" s="280">
        <f>IFERROR(IF(G10&lt;6.5%,G10*1.25,G10*1.15),"")</f>
        <v>0</v>
      </c>
      <c r="H38" s="14" t="s">
        <v>351</v>
      </c>
      <c r="I38" s="1"/>
      <c r="J38" s="1"/>
      <c r="K38" s="1"/>
      <c r="L38" s="1"/>
      <c r="N38" s="1"/>
      <c r="O38" s="1"/>
      <c r="P38" s="1"/>
      <c r="Q38" s="1"/>
      <c r="R38" s="1"/>
      <c r="S38" s="1"/>
      <c r="T38" s="1"/>
      <c r="U38" s="1"/>
      <c r="V38" s="1"/>
      <c r="W38" s="1"/>
    </row>
  </sheetData>
  <mergeCells count="4">
    <mergeCell ref="B2:C2"/>
    <mergeCell ref="B3:C3"/>
    <mergeCell ref="B4:C4"/>
    <mergeCell ref="P29:T33"/>
  </mergeCells>
  <hyperlinks>
    <hyperlink ref="B4" location="'SOE DETAILS'!A1" display="SOE DETAILS" xr:uid="{7942E926-37BF-4EFD-9B88-3764D37CCCCD}"/>
  </hyperlinks>
  <pageMargins left="0.7" right="0.7" top="0.75" bottom="0.75" header="0.3" footer="0.3"/>
  <pageSetup orientation="portrait" r:id="rId1"/>
  <ignoredErrors>
    <ignoredError sqref="H16:I16"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3BD19-65B0-440E-9623-DAD58F8448FC}">
  <sheetPr>
    <tabColor rgb="FFC00000"/>
  </sheetPr>
  <dimension ref="A1"/>
  <sheetViews>
    <sheetView showGridLines="0" topLeftCell="A13" zoomScale="70" zoomScaleNormal="70" workbookViewId="0">
      <selection activeCell="A13" sqref="A13"/>
    </sheetView>
  </sheetViews>
  <sheetFormatPr defaultColWidth="9.21875" defaultRowHeight="13.8" x14ac:dyDescent="0.25"/>
  <cols>
    <col min="1" max="16384" width="9.21875" style="1"/>
  </cols>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36045-167A-4F78-AE0C-7F4CE29DABC4}">
  <sheetPr codeName="Sheet7">
    <tabColor theme="4" tint="-0.249977111117893"/>
  </sheetPr>
  <dimension ref="B2:AB32"/>
  <sheetViews>
    <sheetView showGridLines="0" zoomScale="85" zoomScaleNormal="85" workbookViewId="0">
      <selection activeCell="O30" sqref="O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56.77734375" style="1" customWidth="1"/>
    <col min="7" max="15" width="9.21875" style="1"/>
    <col min="16" max="16" width="12.21875" style="1" customWidth="1"/>
    <col min="17" max="20" width="10.5546875" style="1" customWidth="1"/>
    <col min="21" max="16384" width="9.21875" style="1"/>
  </cols>
  <sheetData>
    <row r="2" spans="2:28" x14ac:dyDescent="0.25">
      <c r="B2" s="374" t="s">
        <v>191</v>
      </c>
      <c r="C2" s="374"/>
      <c r="F2" s="17" t="s">
        <v>193</v>
      </c>
      <c r="G2" s="16"/>
      <c r="H2" s="16"/>
      <c r="I2" s="16"/>
      <c r="J2" s="16"/>
      <c r="K2" s="16"/>
      <c r="L2" s="16"/>
      <c r="M2" s="16"/>
      <c r="N2" s="16"/>
      <c r="O2" s="16"/>
      <c r="P2" s="16"/>
      <c r="Q2" s="16"/>
      <c r="R2" s="16"/>
      <c r="S2" s="16"/>
      <c r="T2" s="16"/>
      <c r="U2" s="16"/>
      <c r="V2" s="16"/>
      <c r="W2" s="16"/>
      <c r="X2" s="16"/>
      <c r="Y2" s="16"/>
      <c r="Z2" s="16"/>
      <c r="AA2" s="16"/>
    </row>
    <row r="3" spans="2:28" x14ac:dyDescent="0.25">
      <c r="B3" s="375" t="s">
        <v>192</v>
      </c>
      <c r="C3" s="375"/>
      <c r="F3" s="18" t="s">
        <v>188</v>
      </c>
      <c r="G3" s="10"/>
      <c r="H3" s="10"/>
      <c r="I3" s="10"/>
      <c r="J3" s="10"/>
      <c r="K3" s="10"/>
      <c r="L3" s="10"/>
      <c r="M3" s="10"/>
      <c r="N3" s="10"/>
      <c r="O3" s="10"/>
      <c r="P3" s="10"/>
      <c r="Q3" s="10"/>
      <c r="R3" s="10"/>
      <c r="S3" s="10"/>
      <c r="T3" s="10"/>
      <c r="U3" s="10"/>
      <c r="V3" s="10"/>
      <c r="W3" s="10"/>
      <c r="X3" s="10"/>
      <c r="Y3" s="10"/>
      <c r="Z3" s="10"/>
      <c r="AA3" s="10"/>
    </row>
    <row r="4" spans="2:28" ht="20.399999999999999" x14ac:dyDescent="0.25">
      <c r="B4" s="398" t="s">
        <v>189</v>
      </c>
      <c r="C4" s="398"/>
      <c r="F4" s="12" t="s">
        <v>185</v>
      </c>
      <c r="G4" s="11"/>
      <c r="H4" s="11"/>
      <c r="I4" s="11"/>
      <c r="J4" s="11"/>
      <c r="K4" s="11"/>
      <c r="L4" s="11"/>
      <c r="M4" s="11"/>
      <c r="N4" s="11"/>
      <c r="O4" s="11"/>
      <c r="P4" s="11"/>
      <c r="Q4" s="11"/>
      <c r="R4" s="11"/>
      <c r="S4" s="11"/>
      <c r="T4" s="11"/>
      <c r="U4" s="11"/>
      <c r="V4" s="11"/>
      <c r="W4" s="11"/>
      <c r="X4" s="11"/>
      <c r="Y4" s="11"/>
      <c r="Z4" s="11"/>
      <c r="AA4" s="11"/>
    </row>
    <row r="6" spans="2:28" ht="14.25" customHeight="1" x14ac:dyDescent="0.25">
      <c r="F6" s="25"/>
      <c r="G6" s="45" t="str">
        <f>'FINANŠU MĒRĶU NOTEIKŠANA'!H194</f>
        <v/>
      </c>
      <c r="H6" s="44" t="s">
        <v>455</v>
      </c>
      <c r="P6" s="379" t="s">
        <v>442</v>
      </c>
      <c r="Q6" s="379"/>
      <c r="R6" s="379"/>
      <c r="S6" s="379"/>
      <c r="T6" s="379"/>
    </row>
    <row r="7" spans="2:28" x14ac:dyDescent="0.25">
      <c r="F7" s="25"/>
      <c r="P7" s="379"/>
      <c r="Q7" s="379"/>
      <c r="R7" s="379"/>
      <c r="S7" s="379"/>
      <c r="T7" s="379"/>
    </row>
    <row r="8" spans="2:28" s="14" customFormat="1" x14ac:dyDescent="0.3">
      <c r="E8" s="63"/>
      <c r="F8" s="116" t="s">
        <v>370</v>
      </c>
      <c r="G8" s="8" t="s">
        <v>178</v>
      </c>
      <c r="H8" s="27" t="s">
        <v>347</v>
      </c>
      <c r="I8" s="27" t="s">
        <v>348</v>
      </c>
      <c r="J8" s="27" t="s">
        <v>349</v>
      </c>
      <c r="P8" s="379"/>
      <c r="Q8" s="379"/>
      <c r="R8" s="379"/>
      <c r="S8" s="379"/>
      <c r="T8" s="379"/>
    </row>
    <row r="9" spans="2:28" s="14" customFormat="1" ht="15" customHeight="1" x14ac:dyDescent="0.25">
      <c r="E9" s="63"/>
      <c r="F9" s="25" t="s">
        <v>177</v>
      </c>
      <c r="G9" s="51"/>
      <c r="H9" s="51"/>
      <c r="I9" s="51"/>
      <c r="J9" s="51"/>
      <c r="P9" s="379"/>
      <c r="Q9" s="379"/>
      <c r="R9" s="379"/>
      <c r="S9" s="379"/>
      <c r="T9" s="379"/>
      <c r="X9" s="52" t="s">
        <v>239</v>
      </c>
    </row>
    <row r="10" spans="2:28" s="14" customFormat="1" x14ac:dyDescent="0.3">
      <c r="E10" s="63"/>
      <c r="F10" s="25"/>
      <c r="P10" s="379"/>
      <c r="Q10" s="379"/>
      <c r="R10" s="379"/>
      <c r="S10" s="379"/>
      <c r="T10" s="379"/>
      <c r="X10" s="75" t="s">
        <v>237</v>
      </c>
      <c r="Y10" s="83">
        <f>ROUNDDOWN(MIN(G6,G9,G11,G13,H9,I9,J9),2)</f>
        <v>0</v>
      </c>
      <c r="Z10" s="77" t="e" cm="1">
        <f t="array" aca="1" ref="Z10" ca="1">setChartAxis("COM_DP","Chart COM_DP1","Min","Value","Primary",Y10)</f>
        <v>#NAME?</v>
      </c>
      <c r="AA10" s="77"/>
      <c r="AB10" s="78"/>
    </row>
    <row r="11" spans="2:28" s="14" customFormat="1" x14ac:dyDescent="0.25">
      <c r="E11" s="63"/>
      <c r="F11" s="25"/>
      <c r="G11" s="45" t="str">
        <f>IFERROR(G6*0.85,"")</f>
        <v/>
      </c>
      <c r="H11" s="14" t="s">
        <v>350</v>
      </c>
      <c r="P11" s="1"/>
      <c r="Q11" s="1"/>
      <c r="R11" s="1"/>
      <c r="S11" s="1"/>
      <c r="T11" s="1"/>
      <c r="X11" s="79" t="s">
        <v>238</v>
      </c>
      <c r="Y11" s="84">
        <f>ROUNDUP(MAX(G6,G9,H9,I9,G11,G13,J9),2)</f>
        <v>0</v>
      </c>
      <c r="Z11" s="81" t="e" cm="1">
        <f t="array" aca="1" ref="Z11" ca="1">setChartAxis("COM_DP","Chart COM_DP1","Max","Value","Primary",Y11)</f>
        <v>#NAME?</v>
      </c>
      <c r="AA11" s="81"/>
      <c r="AB11" s="82"/>
    </row>
    <row r="12" spans="2:28" s="14" customFormat="1" x14ac:dyDescent="0.25">
      <c r="E12" s="63"/>
      <c r="F12" s="25"/>
      <c r="P12" s="38" t="s">
        <v>202</v>
      </c>
      <c r="Q12" s="38"/>
      <c r="R12" s="38"/>
      <c r="S12" s="38"/>
      <c r="T12" s="38"/>
    </row>
    <row r="13" spans="2:28" x14ac:dyDescent="0.25">
      <c r="F13" s="2"/>
      <c r="G13" s="45" t="str">
        <f>IFERROR(G6*1.15,"")</f>
        <v/>
      </c>
      <c r="H13" s="14" t="s">
        <v>351</v>
      </c>
      <c r="P13" s="1" t="s">
        <v>352</v>
      </c>
      <c r="Q13" s="14"/>
      <c r="R13" s="14"/>
      <c r="S13" s="14"/>
      <c r="T13" s="14"/>
      <c r="U13" s="38"/>
      <c r="V13" s="38"/>
      <c r="W13" s="38"/>
      <c r="X13" s="38"/>
      <c r="Y13" s="38"/>
    </row>
    <row r="14" spans="2:28" s="14" customFormat="1" x14ac:dyDescent="0.25">
      <c r="E14" s="63"/>
      <c r="F14" s="2"/>
      <c r="P14" s="1"/>
    </row>
    <row r="15" spans="2:28" s="14" customFormat="1" x14ac:dyDescent="0.3">
      <c r="E15" s="63"/>
      <c r="F15" s="319" t="s">
        <v>371</v>
      </c>
      <c r="G15" s="328">
        <f>ROUNDUP(MAX(G6,G9,H9,I9,J9,G11,G13),2)</f>
        <v>0</v>
      </c>
      <c r="H15" s="320">
        <f>ROUNDUP(MAX(G6,G9,H9,I9,J9,G11,G13),2)</f>
        <v>0</v>
      </c>
      <c r="I15" s="320">
        <f>ROUNDUP(MAX(G6,G9,H9,I9,J9,G11,G13),2)</f>
        <v>0</v>
      </c>
      <c r="J15" s="320">
        <f>ROUNDUP(MAX(G6,G9,H9,I9,J9,G11,G13),2)</f>
        <v>0</v>
      </c>
      <c r="K15" s="14" t="s">
        <v>233</v>
      </c>
    </row>
    <row r="16" spans="2:28" s="14" customFormat="1" x14ac:dyDescent="0.3">
      <c r="E16" s="63"/>
      <c r="K16" s="71" t="s">
        <v>236</v>
      </c>
      <c r="L16" s="68"/>
      <c r="M16" s="68"/>
      <c r="N16" s="68"/>
      <c r="O16" s="68"/>
      <c r="P16" s="68"/>
      <c r="Q16" s="68"/>
      <c r="R16" s="68"/>
      <c r="S16" s="68"/>
      <c r="T16" s="68"/>
      <c r="U16" s="68"/>
      <c r="V16" s="68"/>
      <c r="W16" s="68"/>
      <c r="X16" s="68"/>
      <c r="Y16" s="68"/>
      <c r="Z16" s="68"/>
      <c r="AA16" s="68"/>
    </row>
    <row r="17" spans="5:27" s="14" customFormat="1" x14ac:dyDescent="0.3">
      <c r="E17" s="63"/>
      <c r="K17" s="71" t="s">
        <v>236</v>
      </c>
      <c r="L17" s="68"/>
      <c r="M17" s="68"/>
      <c r="N17" s="68"/>
      <c r="O17" s="68"/>
      <c r="P17" s="68"/>
      <c r="Q17" s="68"/>
      <c r="R17" s="68"/>
      <c r="S17" s="68"/>
      <c r="T17" s="68"/>
      <c r="U17" s="68"/>
      <c r="V17" s="68"/>
      <c r="W17" s="68"/>
      <c r="X17" s="68"/>
      <c r="Y17" s="68"/>
      <c r="Z17" s="68"/>
      <c r="AA17" s="68"/>
    </row>
    <row r="18" spans="5:27" s="14" customFormat="1" x14ac:dyDescent="0.3">
      <c r="E18" s="63"/>
      <c r="K18" s="71" t="s">
        <v>236</v>
      </c>
      <c r="L18" s="68"/>
      <c r="M18" s="68"/>
      <c r="N18" s="68"/>
      <c r="O18" s="68"/>
      <c r="P18" s="68"/>
      <c r="Q18" s="68"/>
      <c r="R18" s="68"/>
      <c r="S18" s="68"/>
      <c r="T18" s="68"/>
      <c r="U18" s="68"/>
      <c r="V18" s="68"/>
      <c r="W18" s="68"/>
      <c r="X18" s="68"/>
      <c r="Y18" s="68"/>
      <c r="Z18" s="68"/>
      <c r="AA18" s="68"/>
    </row>
    <row r="19" spans="5:27" x14ac:dyDescent="0.25">
      <c r="F19" s="14"/>
      <c r="K19" s="71" t="s">
        <v>236</v>
      </c>
      <c r="L19" s="69"/>
      <c r="M19" s="69"/>
      <c r="N19" s="69"/>
      <c r="O19" s="69"/>
      <c r="P19" s="69"/>
      <c r="Q19" s="69"/>
      <c r="R19" s="69"/>
      <c r="S19" s="69"/>
      <c r="T19" s="69"/>
      <c r="U19" s="69"/>
      <c r="V19" s="69"/>
      <c r="W19" s="69"/>
      <c r="X19" s="69"/>
      <c r="Y19" s="69"/>
      <c r="Z19" s="69"/>
      <c r="AA19" s="69"/>
    </row>
    <row r="20" spans="5:27" s="14" customFormat="1" x14ac:dyDescent="0.3">
      <c r="E20" s="63"/>
      <c r="K20" s="71" t="s">
        <v>236</v>
      </c>
      <c r="L20" s="68"/>
      <c r="M20" s="68"/>
      <c r="N20" s="68"/>
      <c r="O20" s="68"/>
      <c r="P20" s="68"/>
      <c r="Q20" s="68"/>
      <c r="R20" s="68"/>
      <c r="S20" s="68"/>
      <c r="T20" s="68"/>
      <c r="U20" s="68"/>
      <c r="V20" s="68"/>
      <c r="W20" s="68"/>
      <c r="X20" s="68"/>
      <c r="Y20" s="68"/>
      <c r="Z20" s="68"/>
      <c r="AA20" s="68"/>
    </row>
    <row r="21" spans="5:27" s="14" customFormat="1" x14ac:dyDescent="0.25">
      <c r="E21" s="63"/>
      <c r="F21" s="1"/>
      <c r="K21" s="71" t="s">
        <v>236</v>
      </c>
      <c r="L21" s="68"/>
      <c r="M21" s="68"/>
      <c r="N21" s="68"/>
      <c r="O21" s="68"/>
      <c r="P21" s="68"/>
      <c r="Q21" s="68"/>
      <c r="R21" s="68"/>
      <c r="S21" s="68"/>
      <c r="T21" s="68"/>
      <c r="U21" s="68"/>
      <c r="V21" s="68"/>
      <c r="W21" s="68"/>
      <c r="X21" s="68"/>
      <c r="Y21" s="68"/>
      <c r="Z21" s="68"/>
      <c r="AA21" s="68"/>
    </row>
    <row r="22" spans="5:27" s="14" customFormat="1" x14ac:dyDescent="0.25">
      <c r="E22" s="63"/>
      <c r="F22" s="1"/>
      <c r="K22" s="71" t="s">
        <v>236</v>
      </c>
      <c r="L22" s="68"/>
      <c r="M22" s="68"/>
      <c r="N22" s="68"/>
      <c r="O22" s="68"/>
      <c r="P22" s="68"/>
      <c r="Q22" s="68"/>
      <c r="R22" s="68"/>
      <c r="S22" s="68"/>
      <c r="T22" s="68"/>
      <c r="U22" s="68"/>
      <c r="V22" s="68"/>
      <c r="W22" s="68"/>
      <c r="X22" s="68"/>
      <c r="Y22" s="68"/>
      <c r="Z22" s="68"/>
      <c r="AA22" s="68"/>
    </row>
    <row r="23" spans="5:27" s="14" customFormat="1" x14ac:dyDescent="0.25">
      <c r="E23" s="63"/>
      <c r="F23" s="1"/>
    </row>
    <row r="24" spans="5:27" s="14" customFormat="1" x14ac:dyDescent="0.25">
      <c r="E24" s="63"/>
      <c r="F24" s="1"/>
      <c r="K24" s="14" t="s">
        <v>234</v>
      </c>
    </row>
    <row r="25" spans="5:27" x14ac:dyDescent="0.25">
      <c r="K25" s="71" t="s">
        <v>236</v>
      </c>
      <c r="L25" s="68"/>
      <c r="M25" s="68"/>
      <c r="N25" s="68"/>
      <c r="O25" s="68"/>
      <c r="P25" s="68"/>
      <c r="Q25" s="68"/>
      <c r="R25" s="68"/>
      <c r="S25" s="68"/>
      <c r="T25" s="68"/>
      <c r="U25" s="68"/>
      <c r="V25" s="68"/>
      <c r="W25" s="68"/>
      <c r="X25" s="68"/>
      <c r="Y25" s="68"/>
      <c r="Z25" s="68"/>
      <c r="AA25" s="68"/>
    </row>
    <row r="26" spans="5:27" x14ac:dyDescent="0.25">
      <c r="K26" s="71" t="s">
        <v>236</v>
      </c>
      <c r="L26" s="68"/>
      <c r="M26" s="68"/>
      <c r="N26" s="68"/>
      <c r="O26" s="68"/>
      <c r="P26" s="68"/>
      <c r="Q26" s="68"/>
      <c r="R26" s="68"/>
      <c r="S26" s="68"/>
      <c r="T26" s="68"/>
      <c r="U26" s="68"/>
      <c r="V26" s="68"/>
      <c r="W26" s="68"/>
      <c r="X26" s="68"/>
      <c r="Y26" s="68"/>
      <c r="Z26" s="68"/>
      <c r="AA26" s="68"/>
    </row>
    <row r="27" spans="5:27" x14ac:dyDescent="0.25">
      <c r="K27" s="71" t="s">
        <v>236</v>
      </c>
      <c r="L27" s="68"/>
      <c r="M27" s="68"/>
      <c r="N27" s="68"/>
      <c r="O27" s="68"/>
      <c r="P27" s="68"/>
      <c r="Q27" s="68"/>
      <c r="R27" s="68"/>
      <c r="S27" s="68"/>
      <c r="T27" s="68"/>
      <c r="U27" s="68"/>
      <c r="V27" s="68"/>
      <c r="W27" s="68"/>
      <c r="X27" s="68"/>
      <c r="Y27" s="68"/>
      <c r="Z27" s="68"/>
      <c r="AA27" s="68"/>
    </row>
    <row r="28" spans="5:27" x14ac:dyDescent="0.25">
      <c r="K28" s="71" t="s">
        <v>236</v>
      </c>
      <c r="L28" s="69"/>
      <c r="M28" s="69"/>
      <c r="N28" s="69"/>
      <c r="O28" s="69"/>
      <c r="P28" s="69"/>
      <c r="Q28" s="69"/>
      <c r="R28" s="69"/>
      <c r="S28" s="69"/>
      <c r="T28" s="69"/>
      <c r="U28" s="69"/>
      <c r="V28" s="69"/>
      <c r="W28" s="69"/>
      <c r="X28" s="69"/>
      <c r="Y28" s="69"/>
      <c r="Z28" s="69"/>
      <c r="AA28" s="69"/>
    </row>
    <row r="29" spans="5:27" x14ac:dyDescent="0.25">
      <c r="K29" s="71" t="s">
        <v>236</v>
      </c>
      <c r="L29" s="68"/>
      <c r="M29" s="68"/>
      <c r="N29" s="68"/>
      <c r="O29" s="68"/>
      <c r="P29" s="68"/>
      <c r="Q29" s="68"/>
      <c r="R29" s="68"/>
      <c r="S29" s="68"/>
      <c r="T29" s="68"/>
      <c r="U29" s="68"/>
      <c r="V29" s="68"/>
      <c r="W29" s="68"/>
      <c r="X29" s="68"/>
      <c r="Y29" s="68"/>
      <c r="Z29" s="68"/>
      <c r="AA29" s="68"/>
    </row>
    <row r="30" spans="5:27" x14ac:dyDescent="0.25">
      <c r="K30" s="71" t="s">
        <v>236</v>
      </c>
      <c r="L30" s="68"/>
      <c r="M30" s="68"/>
      <c r="N30" s="68"/>
      <c r="O30" s="68"/>
      <c r="P30" s="68"/>
      <c r="Q30" s="68"/>
      <c r="R30" s="68"/>
      <c r="S30" s="68"/>
      <c r="T30" s="68"/>
      <c r="U30" s="68"/>
      <c r="V30" s="68"/>
      <c r="W30" s="68"/>
      <c r="X30" s="68"/>
      <c r="Y30" s="68"/>
      <c r="Z30" s="68"/>
      <c r="AA30" s="68"/>
    </row>
    <row r="31" spans="5:27" x14ac:dyDescent="0.25">
      <c r="K31" s="71" t="s">
        <v>236</v>
      </c>
      <c r="L31" s="68"/>
      <c r="M31" s="68"/>
      <c r="N31" s="68"/>
      <c r="O31" s="68"/>
      <c r="P31" s="68"/>
      <c r="Q31" s="68"/>
      <c r="R31" s="68"/>
      <c r="S31" s="68"/>
      <c r="T31" s="68"/>
      <c r="U31" s="68"/>
      <c r="V31" s="68"/>
      <c r="W31" s="68"/>
      <c r="X31" s="68"/>
      <c r="Y31" s="68"/>
      <c r="Z31" s="68"/>
      <c r="AA31" s="68"/>
    </row>
    <row r="32" spans="5:27" x14ac:dyDescent="0.25">
      <c r="K32" s="14"/>
      <c r="L32" s="14"/>
      <c r="M32" s="14"/>
      <c r="N32" s="14"/>
      <c r="O32" s="14"/>
      <c r="P32" s="14"/>
      <c r="Q32" s="14"/>
      <c r="R32" s="14"/>
    </row>
  </sheetData>
  <mergeCells count="4">
    <mergeCell ref="B2:C2"/>
    <mergeCell ref="B3:C3"/>
    <mergeCell ref="B4:C4"/>
    <mergeCell ref="P6:T10"/>
  </mergeCells>
  <hyperlinks>
    <hyperlink ref="B4" location="'SOE DETAILS'!A1" display="SOE DETAILS" xr:uid="{678E3DA6-A01C-4328-AB12-B38800EB271A}"/>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32B9-DDDF-49C0-9200-0EC6DF3022DE}">
  <sheetPr codeName="Sheet8">
    <tabColor theme="4" tint="-0.249977111117893"/>
  </sheetPr>
  <dimension ref="B2:AD132"/>
  <sheetViews>
    <sheetView showGridLines="0" topLeftCell="A90" zoomScale="85" zoomScaleNormal="85" workbookViewId="0">
      <selection activeCell="O30" sqref="O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6" customWidth="1"/>
    <col min="6" max="7" width="9.44140625" style="1" customWidth="1"/>
    <col min="8" max="8" width="10.44140625" style="1" customWidth="1"/>
    <col min="9" max="9" width="9.21875" style="1"/>
    <col min="10" max="10" width="1.21875" style="1" customWidth="1"/>
    <col min="11" max="23" width="12.5546875" style="1" customWidth="1"/>
    <col min="24" max="24" width="1.21875" style="1" customWidth="1"/>
    <col min="25" max="26" width="9.21875" style="1"/>
    <col min="27" max="27" width="6.77734375" style="1" bestFit="1" customWidth="1"/>
    <col min="28" max="16384" width="9.21875" style="1"/>
  </cols>
  <sheetData>
    <row r="2" spans="2:30" x14ac:dyDescent="0.25">
      <c r="B2" s="374" t="s">
        <v>191</v>
      </c>
      <c r="C2" s="374"/>
      <c r="F2" s="17" t="s">
        <v>193</v>
      </c>
      <c r="G2" s="16"/>
      <c r="H2" s="16"/>
      <c r="I2" s="16"/>
      <c r="J2" s="16"/>
      <c r="K2" s="16"/>
      <c r="L2" s="16"/>
      <c r="M2" s="16"/>
      <c r="N2" s="16"/>
      <c r="O2" s="16"/>
      <c r="P2" s="16"/>
      <c r="Q2" s="16"/>
      <c r="R2" s="16"/>
      <c r="S2" s="16"/>
      <c r="T2" s="16"/>
      <c r="U2" s="16"/>
      <c r="V2" s="16"/>
      <c r="W2" s="16"/>
      <c r="X2" s="16"/>
      <c r="Y2" s="16"/>
    </row>
    <row r="3" spans="2:30" x14ac:dyDescent="0.25">
      <c r="B3" s="375" t="s">
        <v>192</v>
      </c>
      <c r="C3" s="375"/>
      <c r="F3" s="41" t="s">
        <v>188</v>
      </c>
      <c r="G3" s="10"/>
      <c r="H3" s="10"/>
      <c r="I3" s="10"/>
      <c r="J3" s="10"/>
      <c r="K3" s="10"/>
      <c r="L3" s="10"/>
      <c r="M3" s="10"/>
      <c r="N3" s="10"/>
      <c r="O3" s="10"/>
      <c r="P3" s="10"/>
      <c r="Q3" s="10"/>
      <c r="R3" s="10"/>
      <c r="S3" s="10"/>
      <c r="T3" s="10"/>
      <c r="U3" s="10"/>
      <c r="V3" s="10"/>
      <c r="W3" s="10"/>
      <c r="X3" s="10"/>
      <c r="Y3" s="10"/>
    </row>
    <row r="4" spans="2:30" ht="20.399999999999999" x14ac:dyDescent="0.25">
      <c r="B4" s="398" t="s">
        <v>189</v>
      </c>
      <c r="C4" s="398"/>
      <c r="F4" s="12" t="s">
        <v>180</v>
      </c>
      <c r="G4" s="11"/>
      <c r="H4" s="11"/>
      <c r="I4" s="11"/>
      <c r="J4" s="11"/>
      <c r="K4" s="11"/>
      <c r="L4" s="11"/>
      <c r="M4" s="11"/>
      <c r="N4" s="11"/>
      <c r="O4" s="11"/>
      <c r="P4" s="11"/>
      <c r="Q4" s="11"/>
      <c r="R4" s="11"/>
      <c r="S4" s="11"/>
      <c r="T4" s="11"/>
      <c r="U4" s="11"/>
      <c r="V4" s="11"/>
      <c r="W4" s="11"/>
      <c r="X4" s="11"/>
      <c r="Y4" s="11"/>
      <c r="Z4" s="1" t="s">
        <v>235</v>
      </c>
    </row>
    <row r="6" spans="2:30" x14ac:dyDescent="0.25">
      <c r="F6" s="43" t="s">
        <v>179</v>
      </c>
      <c r="G6" s="42"/>
      <c r="H6" s="42"/>
      <c r="I6" s="42"/>
      <c r="J6" s="42"/>
      <c r="K6" s="120"/>
      <c r="L6" s="120"/>
      <c r="M6" s="120"/>
      <c r="N6" s="120"/>
      <c r="O6" s="120"/>
      <c r="P6" s="329" t="s">
        <v>439</v>
      </c>
      <c r="Q6" s="120"/>
      <c r="R6" s="120"/>
      <c r="S6" s="120"/>
      <c r="T6" s="120"/>
      <c r="U6" s="120"/>
      <c r="V6" s="42"/>
      <c r="W6" s="42"/>
      <c r="X6" s="42"/>
      <c r="Y6" s="42"/>
      <c r="AA6" s="52" t="s">
        <v>239</v>
      </c>
    </row>
    <row r="7" spans="2:30" x14ac:dyDescent="0.25">
      <c r="AA7" s="330">
        <f>COM_CS!X10</f>
        <v>0</v>
      </c>
      <c r="AB7" s="86" t="e" cm="1">
        <f t="array" aca="1" ref="AB7" ca="1">setChartAxis("COM_Summary","Chart COM_CS1","Min","Value","Primary",AA7)</f>
        <v>#NAME?</v>
      </c>
      <c r="AC7" s="86"/>
      <c r="AD7" s="87"/>
    </row>
    <row r="8" spans="2:30" s="14" customFormat="1" x14ac:dyDescent="0.25">
      <c r="E8" s="67"/>
      <c r="F8" s="1"/>
      <c r="G8" s="1"/>
      <c r="H8" s="1"/>
      <c r="I8" s="1"/>
      <c r="J8" s="1"/>
      <c r="K8" s="1"/>
      <c r="L8" s="1"/>
      <c r="M8" s="1"/>
      <c r="N8" s="1"/>
      <c r="O8" s="1"/>
      <c r="P8" s="1"/>
      <c r="Q8" s="1"/>
      <c r="R8" s="1"/>
      <c r="S8" s="1"/>
      <c r="T8" s="1"/>
      <c r="U8" s="1"/>
      <c r="V8" s="1"/>
      <c r="W8" s="1"/>
      <c r="X8" s="1"/>
      <c r="Y8" s="1"/>
      <c r="AA8" s="331">
        <f>COM_CS!X11</f>
        <v>0</v>
      </c>
      <c r="AB8" s="89" t="e" cm="1">
        <f t="array" aca="1" ref="AB8" ca="1">setChartAxis("COM_Summary","Chart COM_CS1","Max","Value","Primary",AA8)</f>
        <v>#NAME?</v>
      </c>
      <c r="AC8" s="89"/>
      <c r="AD8" s="90"/>
    </row>
    <row r="9" spans="2:30" s="14" customFormat="1" x14ac:dyDescent="0.25">
      <c r="E9" s="67"/>
      <c r="F9" s="1"/>
      <c r="G9" s="1"/>
      <c r="H9" s="1"/>
      <c r="I9" s="1"/>
      <c r="J9" s="1"/>
      <c r="K9" s="1"/>
      <c r="L9" s="1"/>
      <c r="M9" s="1"/>
      <c r="N9" s="1"/>
      <c r="O9" s="1"/>
      <c r="P9" s="1"/>
      <c r="Q9" s="1"/>
      <c r="R9" s="1"/>
      <c r="S9" s="1"/>
      <c r="T9" s="1"/>
      <c r="U9" s="1"/>
      <c r="V9" s="1"/>
      <c r="W9" s="1"/>
      <c r="X9" s="1"/>
      <c r="Y9" s="1"/>
      <c r="AA9" s="91"/>
      <c r="AB9" s="89"/>
      <c r="AC9" s="89"/>
      <c r="AD9" s="90"/>
    </row>
    <row r="10" spans="2:30" s="14" customFormat="1" x14ac:dyDescent="0.25">
      <c r="E10" s="67"/>
      <c r="F10" s="1"/>
      <c r="G10" s="1"/>
      <c r="H10" s="1"/>
      <c r="I10" s="1"/>
      <c r="J10" s="1"/>
      <c r="K10" s="1"/>
      <c r="L10" s="1"/>
      <c r="M10" s="1"/>
      <c r="N10" s="1"/>
      <c r="O10" s="1"/>
      <c r="P10" s="1"/>
      <c r="Q10" s="1"/>
      <c r="R10" s="1"/>
      <c r="S10" s="1"/>
      <c r="T10" s="1"/>
      <c r="U10" s="1"/>
      <c r="V10" s="1"/>
      <c r="W10" s="1"/>
      <c r="X10" s="1"/>
      <c r="Y10" s="1"/>
      <c r="AA10" s="332">
        <f>COM_RT!Z12</f>
        <v>0</v>
      </c>
      <c r="AB10" s="93" t="e" cm="1">
        <f t="array" aca="1" ref="AB10" ca="1">setChartAxis("COM_Summary","Chart COM_RT1","Min","Value","Primary",AA10)</f>
        <v>#NAME?</v>
      </c>
      <c r="AC10" s="89"/>
      <c r="AD10" s="90"/>
    </row>
    <row r="11" spans="2:30" s="14" customFormat="1" x14ac:dyDescent="0.25">
      <c r="E11" s="67"/>
      <c r="F11" s="1"/>
      <c r="G11" s="1"/>
      <c r="H11" s="1"/>
      <c r="I11" s="1"/>
      <c r="J11" s="1"/>
      <c r="K11" s="1"/>
      <c r="L11" s="1"/>
      <c r="M11" s="1"/>
      <c r="N11" s="1"/>
      <c r="O11" s="1"/>
      <c r="P11" s="1"/>
      <c r="Q11" s="1"/>
      <c r="R11" s="1"/>
      <c r="S11" s="1"/>
      <c r="T11" s="1"/>
      <c r="U11" s="1"/>
      <c r="V11" s="1"/>
      <c r="W11" s="1"/>
      <c r="X11" s="1"/>
      <c r="Y11" s="1"/>
      <c r="AA11" s="332">
        <f>COM_RT!Z13</f>
        <v>0</v>
      </c>
      <c r="AB11" s="89" t="e" cm="1">
        <f t="array" aca="1" ref="AB11" ca="1">setChartAxis("COM_Summary","Chart COM_RT1","Max","Value","Primary",AA11)</f>
        <v>#NAME?</v>
      </c>
      <c r="AC11" s="89"/>
      <c r="AD11" s="90"/>
    </row>
    <row r="12" spans="2:30" s="14" customFormat="1" x14ac:dyDescent="0.25">
      <c r="E12" s="67"/>
      <c r="F12" s="1"/>
      <c r="G12" s="1"/>
      <c r="H12" s="1"/>
      <c r="I12" s="1"/>
      <c r="J12" s="1"/>
      <c r="K12" s="1"/>
      <c r="L12" s="1"/>
      <c r="M12" s="1"/>
      <c r="N12" s="1"/>
      <c r="O12" s="1"/>
      <c r="P12" s="1"/>
      <c r="Q12" s="1"/>
      <c r="R12" s="1"/>
      <c r="S12" s="1"/>
      <c r="T12" s="1"/>
      <c r="U12" s="1"/>
      <c r="V12" s="1"/>
      <c r="W12" s="1"/>
      <c r="X12" s="1"/>
      <c r="Y12" s="1"/>
      <c r="AA12" s="333"/>
      <c r="AB12" s="89"/>
      <c r="AC12" s="89"/>
      <c r="AD12" s="90"/>
    </row>
    <row r="13" spans="2:30" x14ac:dyDescent="0.25">
      <c r="AA13" s="334">
        <f>COM_RT!Z15</f>
        <v>0</v>
      </c>
      <c r="AB13" s="93" t="e" cm="1">
        <f t="array" aca="1" ref="AB13" ca="1">setChartAxis("COM_Summary","Chart COM_RT2","Min","Value","Primary",AA13)</f>
        <v>#NAME?</v>
      </c>
      <c r="AC13" s="93"/>
      <c r="AD13" s="94"/>
    </row>
    <row r="14" spans="2:30" s="14" customFormat="1" x14ac:dyDescent="0.25">
      <c r="E14" s="67"/>
      <c r="F14" s="1"/>
      <c r="G14" s="1"/>
      <c r="H14" s="1"/>
      <c r="I14" s="1"/>
      <c r="J14" s="1"/>
      <c r="K14" s="1"/>
      <c r="L14" s="1"/>
      <c r="M14" s="1"/>
      <c r="N14" s="1"/>
      <c r="O14" s="1"/>
      <c r="P14" s="1"/>
      <c r="Q14" s="1"/>
      <c r="R14" s="1"/>
      <c r="S14" s="1"/>
      <c r="T14" s="1"/>
      <c r="U14" s="1"/>
      <c r="V14" s="1"/>
      <c r="W14" s="1"/>
      <c r="X14" s="1"/>
      <c r="Y14" s="1"/>
      <c r="AA14" s="332">
        <f>COM_RT!Z16</f>
        <v>0</v>
      </c>
      <c r="AB14" s="89" t="e" cm="1">
        <f t="array" aca="1" ref="AB14" ca="1">setChartAxis("COM_Summary","Chart COM_RT2","Max","Value","Primary",AA14)</f>
        <v>#NAME?</v>
      </c>
      <c r="AC14" s="89"/>
      <c r="AD14" s="90"/>
    </row>
    <row r="15" spans="2:30" s="14" customFormat="1" x14ac:dyDescent="0.25">
      <c r="E15" s="67"/>
      <c r="F15" s="1"/>
      <c r="G15" s="1"/>
      <c r="H15" s="1"/>
      <c r="I15" s="1"/>
      <c r="J15" s="1"/>
      <c r="K15" s="1"/>
      <c r="L15" s="1"/>
      <c r="M15" s="1"/>
      <c r="N15" s="1"/>
      <c r="O15" s="1"/>
      <c r="P15" s="1"/>
      <c r="Q15" s="1"/>
      <c r="R15" s="1"/>
      <c r="S15" s="1"/>
      <c r="T15" s="1"/>
      <c r="U15" s="1"/>
      <c r="V15" s="1"/>
      <c r="W15" s="1"/>
      <c r="X15" s="1"/>
      <c r="Y15" s="1"/>
      <c r="AA15" s="333"/>
      <c r="AB15" s="89"/>
      <c r="AC15" s="89"/>
      <c r="AD15" s="90"/>
    </row>
    <row r="16" spans="2:30" s="14" customFormat="1" x14ac:dyDescent="0.25">
      <c r="E16" s="67"/>
      <c r="F16" s="1"/>
      <c r="G16" s="1"/>
      <c r="H16" s="1"/>
      <c r="I16" s="1"/>
      <c r="J16" s="1"/>
      <c r="K16" s="1"/>
      <c r="L16" s="1"/>
      <c r="M16" s="1"/>
      <c r="N16" s="1"/>
      <c r="O16" s="1"/>
      <c r="P16" s="1"/>
      <c r="Q16" s="1"/>
      <c r="R16" s="1"/>
      <c r="S16" s="1"/>
      <c r="T16" s="1"/>
      <c r="U16" s="1"/>
      <c r="V16" s="1"/>
      <c r="W16" s="1"/>
      <c r="X16" s="1"/>
      <c r="Y16" s="1"/>
      <c r="AA16" s="333">
        <f>COM_RT!Z18</f>
        <v>0</v>
      </c>
      <c r="AB16" s="89" t="e" cm="1">
        <f t="array" aca="1" ref="AB16" ca="1">setChartAxis("COM_Summary","Chart COM_RT3","Min","Value","Primary",AA16)</f>
        <v>#NAME?</v>
      </c>
      <c r="AC16" s="89"/>
      <c r="AD16" s="90"/>
    </row>
    <row r="17" spans="5:30" s="14" customFormat="1" x14ac:dyDescent="0.25">
      <c r="E17" s="67"/>
      <c r="F17" s="1"/>
      <c r="G17" s="1"/>
      <c r="H17" s="1"/>
      <c r="I17" s="1"/>
      <c r="J17" s="1"/>
      <c r="K17" s="1"/>
      <c r="L17" s="1"/>
      <c r="M17" s="1"/>
      <c r="N17" s="1"/>
      <c r="O17" s="1"/>
      <c r="P17" s="1"/>
      <c r="Q17" s="1"/>
      <c r="R17" s="1"/>
      <c r="S17" s="1"/>
      <c r="T17" s="1"/>
      <c r="U17" s="1"/>
      <c r="V17" s="1"/>
      <c r="W17" s="1"/>
      <c r="X17" s="1"/>
      <c r="Y17" s="1"/>
      <c r="AA17" s="333">
        <f>COM_RT!Z19</f>
        <v>0</v>
      </c>
      <c r="AB17" s="89" t="e" cm="1">
        <f t="array" aca="1" ref="AB17" ca="1">setChartAxis("COM_Summary","Chart COM_RT3","Max","Value","Primary",AA17)</f>
        <v>#NAME?</v>
      </c>
      <c r="AC17" s="89"/>
      <c r="AD17" s="90"/>
    </row>
    <row r="18" spans="5:30" s="14" customFormat="1" x14ac:dyDescent="0.25">
      <c r="E18" s="67"/>
      <c r="F18" s="1"/>
      <c r="G18" s="1"/>
      <c r="H18" s="1"/>
      <c r="I18" s="1"/>
      <c r="J18" s="1"/>
      <c r="K18" s="1"/>
      <c r="L18" s="1"/>
      <c r="M18" s="1"/>
      <c r="N18" s="1"/>
      <c r="O18" s="1"/>
      <c r="P18" s="1"/>
      <c r="Q18" s="1"/>
      <c r="R18" s="1"/>
      <c r="S18" s="1"/>
      <c r="T18" s="1"/>
      <c r="U18" s="1"/>
      <c r="V18" s="1"/>
      <c r="W18" s="1"/>
      <c r="X18" s="1"/>
      <c r="Y18" s="1"/>
      <c r="AA18" s="91"/>
      <c r="AB18" s="89"/>
      <c r="AC18" s="89"/>
      <c r="AD18" s="90"/>
    </row>
    <row r="19" spans="5:30" x14ac:dyDescent="0.25">
      <c r="AA19" s="95">
        <f>COM_DP!Y10</f>
        <v>0</v>
      </c>
      <c r="AB19" s="93" t="e" cm="1">
        <f t="array" aca="1" ref="AB19" ca="1">setChartAxis("COM_Summary","Chart COM_DP1","Min","Value","Primary",AA19)</f>
        <v>#NAME?</v>
      </c>
      <c r="AC19" s="89"/>
      <c r="AD19" s="90"/>
    </row>
    <row r="20" spans="5:30" s="14" customFormat="1" x14ac:dyDescent="0.25">
      <c r="E20" s="67"/>
      <c r="F20" s="1"/>
      <c r="G20" s="1"/>
      <c r="H20" s="1"/>
      <c r="I20" s="1"/>
      <c r="J20" s="1"/>
      <c r="K20" s="1"/>
      <c r="L20" s="1"/>
      <c r="M20" s="1"/>
      <c r="N20" s="1"/>
      <c r="O20" s="1"/>
      <c r="P20" s="1"/>
      <c r="Q20" s="1"/>
      <c r="R20" s="1"/>
      <c r="S20" s="1"/>
      <c r="T20" s="1"/>
      <c r="U20" s="1"/>
      <c r="V20" s="1"/>
      <c r="W20" s="1"/>
      <c r="X20" s="1"/>
      <c r="Y20" s="1"/>
      <c r="AA20" s="96">
        <f>COM_DP!Y11</f>
        <v>0</v>
      </c>
      <c r="AB20" s="97" t="e" cm="1">
        <f t="array" aca="1" ref="AB20" ca="1">setChartAxis("COM_Summary","Chart COM_DP1","Max","Value","Primary",AA20)</f>
        <v>#NAME?</v>
      </c>
      <c r="AC20" s="97"/>
      <c r="AD20" s="98"/>
    </row>
    <row r="21" spans="5:30" s="14" customFormat="1" x14ac:dyDescent="0.25">
      <c r="E21" s="67"/>
      <c r="F21" s="1"/>
      <c r="G21" s="1"/>
      <c r="H21" s="1"/>
      <c r="I21" s="1"/>
      <c r="J21" s="1"/>
      <c r="K21" s="1"/>
      <c r="L21" s="1"/>
      <c r="M21" s="1"/>
      <c r="N21" s="1"/>
      <c r="O21" s="1"/>
      <c r="P21" s="1"/>
      <c r="Q21" s="1"/>
      <c r="R21" s="1"/>
      <c r="S21" s="1"/>
      <c r="T21" s="1"/>
      <c r="U21" s="1"/>
      <c r="V21" s="1"/>
      <c r="W21" s="1"/>
      <c r="X21" s="1"/>
      <c r="Y21" s="1"/>
    </row>
    <row r="22" spans="5:30" s="14" customFormat="1" x14ac:dyDescent="0.25">
      <c r="E22" s="67"/>
      <c r="F22" s="1"/>
      <c r="G22" s="1"/>
      <c r="H22" s="1"/>
      <c r="I22" s="1"/>
      <c r="J22" s="1"/>
      <c r="K22" s="1"/>
      <c r="L22" s="1"/>
      <c r="M22" s="1"/>
      <c r="N22" s="1"/>
      <c r="O22" s="1"/>
      <c r="P22" s="1"/>
      <c r="Q22" s="1"/>
      <c r="R22" s="1"/>
      <c r="S22" s="1"/>
      <c r="T22" s="1"/>
      <c r="U22" s="1"/>
      <c r="V22" s="1"/>
      <c r="W22" s="1"/>
      <c r="X22" s="1"/>
      <c r="Y22" s="1"/>
      <c r="AA22" s="1"/>
      <c r="AB22" s="1"/>
      <c r="AC22" s="1"/>
      <c r="AD22" s="1"/>
    </row>
    <row r="23" spans="5:30" s="14" customFormat="1" x14ac:dyDescent="0.25">
      <c r="E23" s="67"/>
      <c r="F23" s="1"/>
      <c r="G23" s="1"/>
      <c r="H23" s="1"/>
      <c r="I23" s="1"/>
      <c r="J23" s="1"/>
      <c r="K23" s="1"/>
      <c r="L23" s="1"/>
      <c r="M23" s="1"/>
      <c r="N23" s="1"/>
      <c r="O23" s="1"/>
      <c r="P23" s="1"/>
      <c r="Q23" s="1"/>
      <c r="R23" s="1"/>
      <c r="S23" s="1"/>
      <c r="T23" s="1"/>
      <c r="U23" s="1"/>
      <c r="V23" s="1"/>
      <c r="W23" s="1"/>
      <c r="X23" s="1"/>
      <c r="Y23" s="1"/>
    </row>
    <row r="24" spans="5:30" s="14" customFormat="1" x14ac:dyDescent="0.25">
      <c r="E24" s="67"/>
      <c r="F24" s="1"/>
      <c r="G24" s="1"/>
      <c r="H24" s="1"/>
      <c r="I24" s="1"/>
      <c r="J24" s="1"/>
      <c r="K24" s="1"/>
      <c r="L24" s="1"/>
      <c r="M24" s="1"/>
      <c r="N24" s="1"/>
      <c r="O24" s="1"/>
      <c r="P24" s="1"/>
      <c r="Q24" s="1"/>
      <c r="R24" s="1"/>
      <c r="S24" s="1"/>
      <c r="T24" s="1"/>
      <c r="U24" s="1"/>
      <c r="V24" s="1"/>
      <c r="W24" s="1"/>
      <c r="X24" s="1"/>
      <c r="Y24" s="1"/>
    </row>
    <row r="25" spans="5:30" x14ac:dyDescent="0.25">
      <c r="AA25" s="14"/>
      <c r="AB25" s="14"/>
      <c r="AC25" s="14"/>
      <c r="AD25" s="14"/>
    </row>
    <row r="26" spans="5:30" x14ac:dyDescent="0.25">
      <c r="AA26" s="14"/>
      <c r="AB26" s="14"/>
      <c r="AC26" s="14"/>
      <c r="AD26" s="14"/>
    </row>
    <row r="27" spans="5:30" x14ac:dyDescent="0.25">
      <c r="AA27" s="14"/>
      <c r="AB27" s="14"/>
      <c r="AC27" s="14"/>
      <c r="AD27" s="14"/>
    </row>
    <row r="36" spans="6:25" x14ac:dyDescent="0.25">
      <c r="F36" s="43" t="s">
        <v>194</v>
      </c>
      <c r="G36" s="43"/>
      <c r="H36" s="43"/>
      <c r="I36" s="43"/>
      <c r="J36" s="43"/>
      <c r="K36" s="43"/>
      <c r="L36" s="43"/>
      <c r="M36" s="43"/>
      <c r="N36" s="43"/>
      <c r="O36" s="43"/>
      <c r="P36" s="43"/>
      <c r="Q36" s="43"/>
      <c r="R36" s="43"/>
      <c r="S36" s="43"/>
      <c r="T36" s="43"/>
      <c r="U36" s="43"/>
      <c r="V36" s="43"/>
      <c r="W36" s="43"/>
      <c r="X36" s="43"/>
      <c r="Y36" s="43"/>
    </row>
    <row r="65" spans="5:27" x14ac:dyDescent="0.25">
      <c r="F65" s="43" t="s">
        <v>179</v>
      </c>
      <c r="G65" s="43"/>
      <c r="H65" s="43"/>
      <c r="K65" s="43" t="s">
        <v>194</v>
      </c>
      <c r="L65" s="43"/>
      <c r="M65" s="43"/>
      <c r="N65" s="43"/>
      <c r="O65" s="43"/>
      <c r="P65" s="43"/>
      <c r="Q65" s="43"/>
      <c r="R65" s="43"/>
      <c r="S65" s="43"/>
      <c r="T65" s="43"/>
      <c r="U65" s="43"/>
      <c r="V65" s="43"/>
      <c r="Y65" s="43" t="s">
        <v>440</v>
      </c>
      <c r="Z65" s="43"/>
      <c r="AA65" s="43"/>
    </row>
    <row r="67" spans="5:27" x14ac:dyDescent="0.25">
      <c r="F67" s="39">
        <f>IFERROR(COM_CS!$G$9-COM_CS!$G$6,"")</f>
        <v>0</v>
      </c>
      <c r="G67" s="1" t="s">
        <v>218</v>
      </c>
      <c r="K67" s="335" t="str">
        <f>IFERROR(COM_RT!$G$22-COM_RT!$G$6,"")</f>
        <v/>
      </c>
      <c r="L67" s="1" t="s">
        <v>229</v>
      </c>
      <c r="O67" s="335">
        <f>IFERROR(COM_RT!$G$24-COM_RT!$G$8,"")</f>
        <v>0</v>
      </c>
      <c r="P67" s="1" t="s">
        <v>226</v>
      </c>
      <c r="S67" s="335">
        <f>IFERROR(COM_RT!G26-COM_RT!G10,"")</f>
        <v>0</v>
      </c>
      <c r="T67" s="1" t="s">
        <v>262</v>
      </c>
      <c r="Y67" s="45" t="str">
        <f>IFERROR(COM_DP!$G$9-COM_DP!$G$6,"")</f>
        <v/>
      </c>
      <c r="Z67" s="1" t="s">
        <v>218</v>
      </c>
    </row>
    <row r="69" spans="5:27" x14ac:dyDescent="0.25">
      <c r="F69" s="45" t="str">
        <f>IFERROR(F67/COM_CS!G6,"")</f>
        <v/>
      </c>
      <c r="G69" s="1" t="s">
        <v>219</v>
      </c>
      <c r="K69" s="45" t="str">
        <f>IFERROR(K67/COM_RT!$G$6,"")</f>
        <v/>
      </c>
      <c r="L69" s="1" t="s">
        <v>227</v>
      </c>
      <c r="O69" s="45" t="str">
        <f>IFERROR(O67/COM_RT!G8,"")</f>
        <v/>
      </c>
      <c r="P69" s="1" t="s">
        <v>228</v>
      </c>
      <c r="S69" s="45" t="str">
        <f>IFERROR(S67/COM_RT!G10,"")</f>
        <v/>
      </c>
      <c r="T69" s="1" t="s">
        <v>263</v>
      </c>
      <c r="Y69" s="45" t="str">
        <f>IFERROR(Y67/COM_DP!$G$6,"")</f>
        <v/>
      </c>
      <c r="Z69" s="1" t="s">
        <v>219</v>
      </c>
    </row>
    <row r="70" spans="5:27" s="336" customFormat="1" x14ac:dyDescent="0.25">
      <c r="E70" s="337"/>
      <c r="F70" s="339">
        <f>COM_CS!G11</f>
        <v>0</v>
      </c>
      <c r="G70" s="70"/>
      <c r="H70" s="70"/>
      <c r="I70" s="70"/>
      <c r="J70" s="340"/>
      <c r="K70" s="341" t="str">
        <f>COM_RT!G31</f>
        <v/>
      </c>
      <c r="L70" s="70"/>
      <c r="M70" s="70"/>
      <c r="N70" s="340"/>
      <c r="O70" s="341">
        <f>COM_RT!G34</f>
        <v>0</v>
      </c>
      <c r="P70" s="70"/>
      <c r="Q70" s="70"/>
      <c r="R70" s="340"/>
      <c r="S70" s="341">
        <f>COM_RT!G37</f>
        <v>0</v>
      </c>
      <c r="T70" s="70"/>
      <c r="U70" s="70"/>
      <c r="V70" s="70"/>
      <c r="W70" s="340"/>
      <c r="X70" s="70"/>
      <c r="Y70" s="342" t="str">
        <f>COM_DP!G11</f>
        <v/>
      </c>
    </row>
    <row r="71" spans="5:27" s="336" customFormat="1" ht="13.5" customHeight="1" x14ac:dyDescent="0.25">
      <c r="E71" s="337"/>
      <c r="F71" s="339">
        <f>COM_CS!G9</f>
        <v>0</v>
      </c>
      <c r="G71" s="70"/>
      <c r="H71" s="70"/>
      <c r="I71" s="70"/>
      <c r="J71" s="340"/>
      <c r="K71" s="341">
        <f>COM_RT!G22</f>
        <v>0</v>
      </c>
      <c r="L71" s="70"/>
      <c r="M71" s="70"/>
      <c r="N71" s="340"/>
      <c r="O71" s="341">
        <f>COM_RT!G24</f>
        <v>0</v>
      </c>
      <c r="P71" s="70"/>
      <c r="Q71" s="70"/>
      <c r="R71" s="340"/>
      <c r="S71" s="341">
        <f>COM_RT!G26</f>
        <v>0</v>
      </c>
      <c r="T71" s="70"/>
      <c r="U71" s="70"/>
      <c r="V71" s="70"/>
      <c r="W71" s="340"/>
      <c r="X71" s="70"/>
      <c r="Y71" s="342">
        <f>COM_DP!G9</f>
        <v>0</v>
      </c>
    </row>
    <row r="72" spans="5:27" s="336" customFormat="1" ht="13.5" customHeight="1" x14ac:dyDescent="0.25">
      <c r="E72" s="337"/>
      <c r="F72" s="339">
        <f>COM_CS!G13</f>
        <v>0</v>
      </c>
      <c r="G72" s="70"/>
      <c r="H72" s="70"/>
      <c r="I72" s="70"/>
      <c r="J72" s="340"/>
      <c r="K72" s="341" t="str">
        <f>COM_RT!G32</f>
        <v/>
      </c>
      <c r="L72" s="70"/>
      <c r="M72" s="70"/>
      <c r="N72" s="340"/>
      <c r="O72" s="341">
        <f>COM_RT!G35</f>
        <v>0</v>
      </c>
      <c r="P72" s="70"/>
      <c r="Q72" s="70"/>
      <c r="R72" s="340"/>
      <c r="S72" s="341">
        <f>COM_RT!G38</f>
        <v>0</v>
      </c>
      <c r="T72" s="70"/>
      <c r="U72" s="70"/>
      <c r="V72" s="70"/>
      <c r="W72" s="340"/>
      <c r="X72" s="70"/>
      <c r="Y72" s="342" t="str">
        <f>COM_DP!G13</f>
        <v/>
      </c>
    </row>
    <row r="73" spans="5:27" x14ac:dyDescent="0.25">
      <c r="F73" s="338" t="s">
        <v>448</v>
      </c>
    </row>
    <row r="75" spans="5:27" x14ac:dyDescent="0.25">
      <c r="F75" s="48"/>
      <c r="G75" s="1" t="s">
        <v>220</v>
      </c>
    </row>
    <row r="77" spans="5:27" x14ac:dyDescent="0.25">
      <c r="F77" s="47"/>
      <c r="G77" s="1" t="s">
        <v>221</v>
      </c>
    </row>
    <row r="78" spans="5:27" x14ac:dyDescent="0.25">
      <c r="F78" s="31"/>
      <c r="G78" s="31"/>
      <c r="H78" s="31"/>
      <c r="I78" s="31"/>
      <c r="J78" s="31"/>
      <c r="K78" s="31"/>
      <c r="L78" s="31"/>
      <c r="M78" s="31"/>
      <c r="N78" s="31"/>
      <c r="O78" s="31"/>
      <c r="P78" s="31"/>
      <c r="Q78" s="31"/>
      <c r="R78" s="31"/>
      <c r="S78" s="31"/>
      <c r="T78" s="31"/>
      <c r="U78" s="31"/>
      <c r="V78" s="31"/>
      <c r="W78" s="31"/>
      <c r="X78" s="31"/>
      <c r="Y78" s="31"/>
    </row>
    <row r="80" spans="5:27" x14ac:dyDescent="0.25">
      <c r="F80" s="43" t="s">
        <v>230</v>
      </c>
      <c r="G80" s="43"/>
      <c r="H80" s="43"/>
      <c r="I80" s="43"/>
      <c r="J80" s="43"/>
      <c r="K80" s="43"/>
      <c r="L80" s="43"/>
      <c r="M80" s="43"/>
      <c r="N80" s="43"/>
      <c r="O80" s="43"/>
      <c r="P80" s="43"/>
      <c r="Q80" s="43"/>
      <c r="R80" s="43"/>
      <c r="S80" s="43"/>
      <c r="T80" s="43"/>
      <c r="U80" s="43"/>
      <c r="V80" s="43"/>
      <c r="W80" s="43"/>
      <c r="X80" s="43"/>
      <c r="Y80" s="43"/>
    </row>
    <row r="90" spans="6:25" x14ac:dyDescent="0.25">
      <c r="F90" s="14" t="s">
        <v>444</v>
      </c>
      <c r="G90" s="14"/>
      <c r="H90" s="14"/>
      <c r="I90" s="14"/>
      <c r="J90" s="14"/>
      <c r="K90" s="14"/>
      <c r="L90" s="14"/>
      <c r="M90" s="14"/>
    </row>
    <row r="91" spans="6:25" x14ac:dyDescent="0.25">
      <c r="F91" s="71" t="s">
        <v>236</v>
      </c>
      <c r="G91" s="68"/>
      <c r="H91" s="68"/>
      <c r="I91" s="68"/>
      <c r="J91" s="68"/>
      <c r="K91" s="68"/>
      <c r="L91" s="68"/>
      <c r="M91" s="68"/>
      <c r="N91" s="68"/>
      <c r="O91" s="68"/>
      <c r="P91" s="68"/>
      <c r="Q91" s="68"/>
      <c r="R91" s="68"/>
      <c r="S91" s="68"/>
      <c r="T91" s="68"/>
      <c r="U91" s="68"/>
      <c r="V91" s="68"/>
      <c r="W91" s="68"/>
      <c r="X91" s="68"/>
      <c r="Y91" s="68"/>
    </row>
    <row r="92" spans="6:25" x14ac:dyDescent="0.25">
      <c r="F92" s="71" t="s">
        <v>236</v>
      </c>
      <c r="G92" s="68"/>
      <c r="H92" s="68"/>
      <c r="I92" s="68"/>
      <c r="J92" s="68"/>
      <c r="K92" s="68"/>
      <c r="L92" s="68"/>
      <c r="M92" s="68"/>
      <c r="N92" s="68"/>
      <c r="O92" s="68"/>
      <c r="P92" s="68"/>
      <c r="Q92" s="68"/>
      <c r="R92" s="68"/>
      <c r="S92" s="68"/>
      <c r="T92" s="68"/>
      <c r="U92" s="68"/>
      <c r="V92" s="68"/>
      <c r="W92" s="68"/>
      <c r="X92" s="68"/>
      <c r="Y92" s="68"/>
    </row>
    <row r="93" spans="6:25" x14ac:dyDescent="0.25">
      <c r="F93" s="71" t="s">
        <v>236</v>
      </c>
      <c r="G93" s="68"/>
      <c r="H93" s="68"/>
      <c r="I93" s="68"/>
      <c r="J93" s="68"/>
      <c r="K93" s="68"/>
      <c r="L93" s="68"/>
      <c r="M93" s="68"/>
      <c r="N93" s="68"/>
      <c r="O93" s="68"/>
      <c r="P93" s="68"/>
      <c r="Q93" s="68"/>
      <c r="R93" s="68"/>
      <c r="S93" s="68"/>
      <c r="T93" s="68"/>
      <c r="U93" s="68"/>
      <c r="V93" s="68"/>
      <c r="W93" s="68"/>
      <c r="X93" s="68"/>
      <c r="Y93" s="68"/>
    </row>
    <row r="94" spans="6:25" x14ac:dyDescent="0.25">
      <c r="F94" s="71" t="s">
        <v>236</v>
      </c>
      <c r="G94" s="68"/>
      <c r="H94" s="68"/>
      <c r="I94" s="68"/>
      <c r="J94" s="68"/>
      <c r="K94" s="68"/>
      <c r="L94" s="68"/>
      <c r="M94" s="68"/>
      <c r="N94" s="68"/>
      <c r="O94" s="68"/>
      <c r="P94" s="68"/>
      <c r="Q94" s="68"/>
      <c r="R94" s="68"/>
      <c r="S94" s="68"/>
      <c r="T94" s="68"/>
      <c r="U94" s="68"/>
      <c r="V94" s="68"/>
      <c r="W94" s="68"/>
      <c r="X94" s="68"/>
      <c r="Y94" s="68"/>
    </row>
    <row r="95" spans="6:25" x14ac:dyDescent="0.25">
      <c r="F95" s="71" t="s">
        <v>236</v>
      </c>
      <c r="G95" s="68"/>
      <c r="H95" s="68"/>
      <c r="I95" s="68"/>
      <c r="J95" s="68"/>
      <c r="K95" s="68"/>
      <c r="L95" s="68"/>
      <c r="M95" s="68"/>
      <c r="N95" s="68"/>
      <c r="O95" s="68"/>
      <c r="P95" s="68"/>
      <c r="Q95" s="68"/>
      <c r="R95" s="68"/>
      <c r="S95" s="68"/>
      <c r="T95" s="68"/>
      <c r="U95" s="68"/>
      <c r="V95" s="68"/>
      <c r="W95" s="68"/>
      <c r="X95" s="68"/>
      <c r="Y95" s="68"/>
    </row>
    <row r="96" spans="6:25" x14ac:dyDescent="0.25">
      <c r="F96" s="71" t="s">
        <v>236</v>
      </c>
      <c r="G96" s="69"/>
      <c r="H96" s="69"/>
      <c r="I96" s="69"/>
      <c r="J96" s="69"/>
      <c r="K96" s="69"/>
      <c r="L96" s="69"/>
      <c r="M96" s="69"/>
      <c r="N96" s="69"/>
      <c r="O96" s="69"/>
      <c r="P96" s="69"/>
      <c r="Q96" s="69"/>
      <c r="R96" s="69"/>
      <c r="S96" s="69"/>
      <c r="T96" s="69"/>
      <c r="U96" s="69"/>
      <c r="V96" s="69"/>
      <c r="W96" s="69"/>
      <c r="X96" s="69"/>
      <c r="Y96" s="69"/>
    </row>
    <row r="97" spans="6:25" x14ac:dyDescent="0.25">
      <c r="F97" s="71" t="s">
        <v>236</v>
      </c>
      <c r="G97" s="68"/>
      <c r="H97" s="68"/>
      <c r="I97" s="68"/>
      <c r="J97" s="68"/>
      <c r="K97" s="68"/>
      <c r="L97" s="68"/>
      <c r="M97" s="68"/>
      <c r="N97" s="68"/>
      <c r="O97" s="68"/>
      <c r="P97" s="68"/>
      <c r="Q97" s="68"/>
      <c r="R97" s="68"/>
      <c r="S97" s="68"/>
      <c r="T97" s="68"/>
      <c r="U97" s="68"/>
      <c r="V97" s="68"/>
      <c r="W97" s="68"/>
      <c r="X97" s="68"/>
      <c r="Y97" s="68"/>
    </row>
    <row r="98" spans="6:25" x14ac:dyDescent="0.25">
      <c r="F98" s="71" t="s">
        <v>236</v>
      </c>
      <c r="G98" s="68"/>
      <c r="H98" s="68"/>
      <c r="I98" s="68"/>
      <c r="J98" s="68"/>
      <c r="K98" s="68"/>
      <c r="L98" s="68"/>
      <c r="M98" s="68"/>
      <c r="N98" s="68"/>
      <c r="O98" s="68"/>
      <c r="P98" s="68"/>
      <c r="Q98" s="68"/>
      <c r="R98" s="68"/>
      <c r="S98" s="68"/>
      <c r="T98" s="68"/>
      <c r="U98" s="68"/>
      <c r="V98" s="68"/>
      <c r="W98" s="68"/>
      <c r="X98" s="68"/>
      <c r="Y98" s="68"/>
    </row>
    <row r="99" spans="6:25" x14ac:dyDescent="0.25">
      <c r="F99" s="71" t="s">
        <v>236</v>
      </c>
      <c r="G99" s="68"/>
      <c r="H99" s="68"/>
      <c r="I99" s="68"/>
      <c r="J99" s="68"/>
      <c r="K99" s="68"/>
      <c r="L99" s="68"/>
      <c r="M99" s="68"/>
      <c r="N99" s="68"/>
      <c r="O99" s="68"/>
      <c r="P99" s="68"/>
      <c r="Q99" s="68"/>
      <c r="R99" s="68"/>
      <c r="S99" s="68"/>
      <c r="T99" s="68"/>
      <c r="U99" s="68"/>
      <c r="V99" s="68"/>
      <c r="W99" s="68"/>
      <c r="X99" s="68"/>
      <c r="Y99" s="68"/>
    </row>
    <row r="101" spans="6:25" x14ac:dyDescent="0.25">
      <c r="F101" s="14" t="s">
        <v>445</v>
      </c>
      <c r="G101" s="14"/>
      <c r="H101" s="14"/>
      <c r="I101" s="14"/>
      <c r="J101" s="14"/>
      <c r="K101" s="14"/>
      <c r="L101" s="14"/>
      <c r="M101" s="14"/>
    </row>
    <row r="102" spans="6:25" x14ac:dyDescent="0.25">
      <c r="F102" s="71" t="s">
        <v>236</v>
      </c>
      <c r="G102" s="68"/>
      <c r="H102" s="68"/>
      <c r="I102" s="68"/>
      <c r="J102" s="68"/>
      <c r="K102" s="68"/>
      <c r="L102" s="68"/>
      <c r="M102" s="68"/>
      <c r="N102" s="68"/>
      <c r="O102" s="68"/>
      <c r="P102" s="68"/>
      <c r="Q102" s="68"/>
      <c r="R102" s="68"/>
      <c r="S102" s="68"/>
      <c r="T102" s="68"/>
      <c r="U102" s="68"/>
      <c r="V102" s="68"/>
      <c r="W102" s="68"/>
      <c r="X102" s="68"/>
      <c r="Y102" s="68"/>
    </row>
    <row r="103" spans="6:25" x14ac:dyDescent="0.25">
      <c r="F103" s="71" t="s">
        <v>236</v>
      </c>
      <c r="G103" s="68"/>
      <c r="H103" s="68"/>
      <c r="I103" s="68"/>
      <c r="J103" s="68"/>
      <c r="K103" s="68"/>
      <c r="L103" s="68"/>
      <c r="M103" s="68"/>
      <c r="N103" s="68"/>
      <c r="O103" s="68"/>
      <c r="P103" s="68"/>
      <c r="Q103" s="68"/>
      <c r="R103" s="68"/>
      <c r="S103" s="68"/>
      <c r="T103" s="68"/>
      <c r="U103" s="68"/>
      <c r="V103" s="68"/>
      <c r="W103" s="68"/>
      <c r="X103" s="68"/>
      <c r="Y103" s="68"/>
    </row>
    <row r="104" spans="6:25" x14ac:dyDescent="0.25">
      <c r="F104" s="71" t="s">
        <v>236</v>
      </c>
      <c r="G104" s="68"/>
      <c r="H104" s="68"/>
      <c r="I104" s="68"/>
      <c r="J104" s="68"/>
      <c r="K104" s="68"/>
      <c r="L104" s="68"/>
      <c r="M104" s="68"/>
      <c r="N104" s="68"/>
      <c r="O104" s="68"/>
      <c r="P104" s="68"/>
      <c r="Q104" s="68"/>
      <c r="R104" s="68"/>
      <c r="S104" s="68"/>
      <c r="T104" s="68"/>
      <c r="U104" s="68"/>
      <c r="V104" s="68"/>
      <c r="W104" s="68"/>
      <c r="X104" s="68"/>
      <c r="Y104" s="68"/>
    </row>
    <row r="105" spans="6:25" x14ac:dyDescent="0.25">
      <c r="F105" s="71" t="s">
        <v>236</v>
      </c>
      <c r="G105" s="68"/>
      <c r="H105" s="68"/>
      <c r="I105" s="68"/>
      <c r="J105" s="68"/>
      <c r="K105" s="68"/>
      <c r="L105" s="68"/>
      <c r="M105" s="68"/>
      <c r="N105" s="68"/>
      <c r="O105" s="68"/>
      <c r="P105" s="68"/>
      <c r="Q105" s="68"/>
      <c r="R105" s="68"/>
      <c r="S105" s="68"/>
      <c r="T105" s="68"/>
      <c r="U105" s="68"/>
      <c r="V105" s="68"/>
      <c r="W105" s="68"/>
      <c r="X105" s="68"/>
      <c r="Y105" s="68"/>
    </row>
    <row r="106" spans="6:25" x14ac:dyDescent="0.25">
      <c r="F106" s="71" t="s">
        <v>236</v>
      </c>
      <c r="G106" s="68"/>
      <c r="H106" s="68"/>
      <c r="I106" s="68"/>
      <c r="J106" s="68"/>
      <c r="K106" s="68"/>
      <c r="L106" s="68"/>
      <c r="M106" s="68"/>
      <c r="N106" s="68"/>
      <c r="O106" s="68"/>
      <c r="P106" s="68"/>
      <c r="Q106" s="68"/>
      <c r="R106" s="68"/>
      <c r="S106" s="68"/>
      <c r="T106" s="68"/>
      <c r="U106" s="68"/>
      <c r="V106" s="68"/>
      <c r="W106" s="68"/>
      <c r="X106" s="68"/>
      <c r="Y106" s="68"/>
    </row>
    <row r="107" spans="6:25" x14ac:dyDescent="0.25">
      <c r="F107" s="71" t="s">
        <v>236</v>
      </c>
      <c r="G107" s="69"/>
      <c r="H107" s="69"/>
      <c r="I107" s="69"/>
      <c r="J107" s="69"/>
      <c r="K107" s="69"/>
      <c r="L107" s="69"/>
      <c r="M107" s="69"/>
      <c r="N107" s="69"/>
      <c r="O107" s="69"/>
      <c r="P107" s="69"/>
      <c r="Q107" s="69"/>
      <c r="R107" s="69"/>
      <c r="S107" s="69"/>
      <c r="T107" s="69"/>
      <c r="U107" s="69"/>
      <c r="V107" s="69"/>
      <c r="W107" s="69"/>
      <c r="X107" s="69"/>
      <c r="Y107" s="69"/>
    </row>
    <row r="108" spans="6:25" x14ac:dyDescent="0.25">
      <c r="F108" s="71" t="s">
        <v>236</v>
      </c>
      <c r="G108" s="68"/>
      <c r="H108" s="68"/>
      <c r="I108" s="68"/>
      <c r="J108" s="68"/>
      <c r="K108" s="68"/>
      <c r="L108" s="68"/>
      <c r="M108" s="68"/>
      <c r="N108" s="68"/>
      <c r="O108" s="68"/>
      <c r="P108" s="68"/>
      <c r="Q108" s="68"/>
      <c r="R108" s="68"/>
      <c r="S108" s="68"/>
      <c r="T108" s="68"/>
      <c r="U108" s="68"/>
      <c r="V108" s="68"/>
      <c r="W108" s="68"/>
      <c r="X108" s="68"/>
      <c r="Y108" s="68"/>
    </row>
    <row r="109" spans="6:25" x14ac:dyDescent="0.25">
      <c r="F109" s="71" t="s">
        <v>236</v>
      </c>
      <c r="G109" s="68"/>
      <c r="H109" s="68"/>
      <c r="I109" s="68"/>
      <c r="J109" s="68"/>
      <c r="K109" s="68"/>
      <c r="L109" s="68"/>
      <c r="M109" s="68"/>
      <c r="N109" s="68"/>
      <c r="O109" s="68"/>
      <c r="P109" s="68"/>
      <c r="Q109" s="68"/>
      <c r="R109" s="68"/>
      <c r="S109" s="68"/>
      <c r="T109" s="68"/>
      <c r="U109" s="68"/>
      <c r="V109" s="68"/>
      <c r="W109" s="68"/>
      <c r="X109" s="68"/>
      <c r="Y109" s="68"/>
    </row>
    <row r="110" spans="6:25" x14ac:dyDescent="0.25">
      <c r="F110" s="71" t="s">
        <v>236</v>
      </c>
      <c r="G110" s="68"/>
      <c r="H110" s="68"/>
      <c r="I110" s="68"/>
      <c r="J110" s="68"/>
      <c r="K110" s="68"/>
      <c r="L110" s="68"/>
      <c r="M110" s="68"/>
      <c r="N110" s="68"/>
      <c r="O110" s="68"/>
      <c r="P110" s="68"/>
      <c r="Q110" s="68"/>
      <c r="R110" s="68"/>
      <c r="S110" s="68"/>
      <c r="T110" s="68"/>
      <c r="U110" s="68"/>
      <c r="V110" s="68"/>
      <c r="W110" s="68"/>
      <c r="X110" s="68"/>
      <c r="Y110" s="68"/>
    </row>
    <row r="112" spans="6:25" x14ac:dyDescent="0.25">
      <c r="F112" s="14" t="s">
        <v>446</v>
      </c>
      <c r="G112" s="14"/>
      <c r="H112" s="14"/>
      <c r="I112" s="14"/>
      <c r="J112" s="14"/>
      <c r="K112" s="14"/>
      <c r="L112" s="14"/>
      <c r="M112" s="14"/>
    </row>
    <row r="113" spans="6:25" x14ac:dyDescent="0.25">
      <c r="F113" s="71" t="s">
        <v>236</v>
      </c>
      <c r="G113" s="68"/>
      <c r="H113" s="68"/>
      <c r="I113" s="68"/>
      <c r="J113" s="68"/>
      <c r="K113" s="68"/>
      <c r="L113" s="68"/>
      <c r="M113" s="68"/>
      <c r="N113" s="68"/>
      <c r="O113" s="68"/>
      <c r="P113" s="68"/>
      <c r="Q113" s="68"/>
      <c r="R113" s="68"/>
      <c r="S113" s="68"/>
      <c r="T113" s="68"/>
      <c r="U113" s="68"/>
      <c r="V113" s="68"/>
      <c r="W113" s="68"/>
      <c r="X113" s="68"/>
      <c r="Y113" s="68"/>
    </row>
    <row r="114" spans="6:25" x14ac:dyDescent="0.25">
      <c r="F114" s="71" t="s">
        <v>236</v>
      </c>
      <c r="G114" s="68"/>
      <c r="H114" s="68"/>
      <c r="I114" s="68"/>
      <c r="J114" s="68"/>
      <c r="K114" s="68"/>
      <c r="L114" s="68"/>
      <c r="M114" s="68"/>
      <c r="N114" s="68"/>
      <c r="O114" s="68"/>
      <c r="P114" s="68"/>
      <c r="Q114" s="68"/>
      <c r="R114" s="68"/>
      <c r="S114" s="68"/>
      <c r="T114" s="68"/>
      <c r="U114" s="68"/>
      <c r="V114" s="68"/>
      <c r="W114" s="68"/>
      <c r="X114" s="68"/>
      <c r="Y114" s="68"/>
    </row>
    <row r="115" spans="6:25" x14ac:dyDescent="0.25">
      <c r="F115" s="71" t="s">
        <v>236</v>
      </c>
      <c r="G115" s="68"/>
      <c r="H115" s="68"/>
      <c r="I115" s="68"/>
      <c r="J115" s="68"/>
      <c r="K115" s="68"/>
      <c r="L115" s="68"/>
      <c r="M115" s="68"/>
      <c r="N115" s="68"/>
      <c r="O115" s="68"/>
      <c r="P115" s="68"/>
      <c r="Q115" s="68"/>
      <c r="R115" s="68"/>
      <c r="S115" s="68"/>
      <c r="T115" s="68"/>
      <c r="U115" s="68"/>
      <c r="V115" s="68"/>
      <c r="W115" s="68"/>
      <c r="X115" s="68"/>
      <c r="Y115" s="68"/>
    </row>
    <row r="116" spans="6:25" x14ac:dyDescent="0.25">
      <c r="F116" s="71" t="s">
        <v>236</v>
      </c>
      <c r="G116" s="68"/>
      <c r="H116" s="68"/>
      <c r="I116" s="68"/>
      <c r="J116" s="68"/>
      <c r="K116" s="68"/>
      <c r="L116" s="68"/>
      <c r="M116" s="68"/>
      <c r="N116" s="68"/>
      <c r="O116" s="68"/>
      <c r="P116" s="68"/>
      <c r="Q116" s="68"/>
      <c r="R116" s="68"/>
      <c r="S116" s="68"/>
      <c r="T116" s="68"/>
      <c r="U116" s="68"/>
      <c r="V116" s="68"/>
      <c r="W116" s="68"/>
      <c r="X116" s="68"/>
      <c r="Y116" s="68"/>
    </row>
    <row r="117" spans="6:25" x14ac:dyDescent="0.25">
      <c r="F117" s="71" t="s">
        <v>236</v>
      </c>
      <c r="G117" s="68"/>
      <c r="H117" s="68"/>
      <c r="I117" s="68"/>
      <c r="J117" s="68"/>
      <c r="K117" s="68"/>
      <c r="L117" s="68"/>
      <c r="M117" s="68"/>
      <c r="N117" s="68"/>
      <c r="O117" s="68"/>
      <c r="P117" s="68"/>
      <c r="Q117" s="68"/>
      <c r="R117" s="68"/>
      <c r="S117" s="68"/>
      <c r="T117" s="68"/>
      <c r="U117" s="68"/>
      <c r="V117" s="68"/>
      <c r="W117" s="68"/>
      <c r="X117" s="68"/>
      <c r="Y117" s="68"/>
    </row>
    <row r="118" spans="6:25" x14ac:dyDescent="0.25">
      <c r="F118" s="71" t="s">
        <v>236</v>
      </c>
      <c r="G118" s="69"/>
      <c r="H118" s="69"/>
      <c r="I118" s="69"/>
      <c r="J118" s="69"/>
      <c r="K118" s="69"/>
      <c r="L118" s="69"/>
      <c r="M118" s="69"/>
      <c r="N118" s="69"/>
      <c r="O118" s="69"/>
      <c r="P118" s="69"/>
      <c r="Q118" s="69"/>
      <c r="R118" s="69"/>
      <c r="S118" s="69"/>
      <c r="T118" s="69"/>
      <c r="U118" s="69"/>
      <c r="V118" s="69"/>
      <c r="W118" s="69"/>
      <c r="X118" s="69"/>
      <c r="Y118" s="69"/>
    </row>
    <row r="119" spans="6:25" x14ac:dyDescent="0.25">
      <c r="F119" s="71" t="s">
        <v>236</v>
      </c>
      <c r="G119" s="68"/>
      <c r="H119" s="68"/>
      <c r="I119" s="68"/>
      <c r="J119" s="68"/>
      <c r="K119" s="68"/>
      <c r="L119" s="68"/>
      <c r="M119" s="68"/>
      <c r="N119" s="68"/>
      <c r="O119" s="68"/>
      <c r="P119" s="68"/>
      <c r="Q119" s="68"/>
      <c r="R119" s="68"/>
      <c r="S119" s="68"/>
      <c r="T119" s="68"/>
      <c r="U119" s="68"/>
      <c r="V119" s="68"/>
      <c r="W119" s="68"/>
      <c r="X119" s="68"/>
      <c r="Y119" s="68"/>
    </row>
    <row r="120" spans="6:25" x14ac:dyDescent="0.25">
      <c r="F120" s="71" t="s">
        <v>236</v>
      </c>
      <c r="G120" s="68"/>
      <c r="H120" s="68"/>
      <c r="I120" s="68"/>
      <c r="J120" s="68"/>
      <c r="K120" s="68"/>
      <c r="L120" s="68"/>
      <c r="M120" s="68"/>
      <c r="N120" s="68"/>
      <c r="O120" s="68"/>
      <c r="P120" s="68"/>
      <c r="Q120" s="68"/>
      <c r="R120" s="68"/>
      <c r="S120" s="68"/>
      <c r="T120" s="68"/>
      <c r="U120" s="68"/>
      <c r="V120" s="68"/>
      <c r="W120" s="68"/>
      <c r="X120" s="68"/>
      <c r="Y120" s="68"/>
    </row>
    <row r="121" spans="6:25" x14ac:dyDescent="0.25">
      <c r="F121" s="71" t="s">
        <v>236</v>
      </c>
      <c r="G121" s="68"/>
      <c r="H121" s="68"/>
      <c r="I121" s="68"/>
      <c r="J121" s="68"/>
      <c r="K121" s="68"/>
      <c r="L121" s="68"/>
      <c r="M121" s="68"/>
      <c r="N121" s="68"/>
      <c r="O121" s="68"/>
      <c r="P121" s="68"/>
      <c r="Q121" s="68"/>
      <c r="R121" s="68"/>
      <c r="S121" s="68"/>
      <c r="T121" s="68"/>
      <c r="U121" s="68"/>
      <c r="V121" s="68"/>
      <c r="W121" s="68"/>
      <c r="X121" s="68"/>
      <c r="Y121" s="68"/>
    </row>
    <row r="123" spans="6:25" x14ac:dyDescent="0.25">
      <c r="F123" s="14" t="s">
        <v>447</v>
      </c>
      <c r="G123" s="14"/>
      <c r="H123" s="14"/>
      <c r="I123" s="14"/>
      <c r="J123" s="14"/>
      <c r="K123" s="14"/>
      <c r="L123" s="14"/>
      <c r="M123" s="14"/>
    </row>
    <row r="124" spans="6:25" x14ac:dyDescent="0.25">
      <c r="F124" s="71" t="s">
        <v>236</v>
      </c>
      <c r="G124" s="68"/>
      <c r="H124" s="68"/>
      <c r="I124" s="68"/>
      <c r="J124" s="68"/>
      <c r="K124" s="68"/>
      <c r="L124" s="68"/>
      <c r="M124" s="68"/>
      <c r="N124" s="68"/>
      <c r="O124" s="68"/>
      <c r="P124" s="68"/>
      <c r="Q124" s="68"/>
      <c r="R124" s="68"/>
      <c r="S124" s="68"/>
      <c r="T124" s="68"/>
      <c r="U124" s="68"/>
      <c r="V124" s="68"/>
      <c r="W124" s="68"/>
      <c r="X124" s="68"/>
      <c r="Y124" s="68"/>
    </row>
    <row r="125" spans="6:25" x14ac:dyDescent="0.25">
      <c r="F125" s="71" t="s">
        <v>236</v>
      </c>
      <c r="G125" s="68"/>
      <c r="H125" s="68"/>
      <c r="I125" s="68"/>
      <c r="J125" s="68"/>
      <c r="K125" s="68"/>
      <c r="L125" s="68"/>
      <c r="M125" s="68"/>
      <c r="N125" s="68"/>
      <c r="O125" s="68"/>
      <c r="P125" s="68"/>
      <c r="Q125" s="68"/>
      <c r="R125" s="68"/>
      <c r="S125" s="68"/>
      <c r="T125" s="68"/>
      <c r="U125" s="68"/>
      <c r="V125" s="68"/>
      <c r="W125" s="68"/>
      <c r="X125" s="68"/>
      <c r="Y125" s="68"/>
    </row>
    <row r="126" spans="6:25" x14ac:dyDescent="0.25">
      <c r="F126" s="71" t="s">
        <v>236</v>
      </c>
      <c r="G126" s="68"/>
      <c r="H126" s="68"/>
      <c r="I126" s="68"/>
      <c r="J126" s="68"/>
      <c r="K126" s="68"/>
      <c r="L126" s="68"/>
      <c r="M126" s="68"/>
      <c r="N126" s="68"/>
      <c r="O126" s="68"/>
      <c r="P126" s="68"/>
      <c r="Q126" s="68"/>
      <c r="R126" s="68"/>
      <c r="S126" s="68"/>
      <c r="T126" s="68"/>
      <c r="U126" s="68"/>
      <c r="V126" s="68"/>
      <c r="W126" s="68"/>
      <c r="X126" s="68"/>
      <c r="Y126" s="68"/>
    </row>
    <row r="127" spans="6:25" x14ac:dyDescent="0.25">
      <c r="F127" s="71" t="s">
        <v>236</v>
      </c>
      <c r="G127" s="68"/>
      <c r="H127" s="68"/>
      <c r="I127" s="68"/>
      <c r="J127" s="68"/>
      <c r="K127" s="68"/>
      <c r="L127" s="68"/>
      <c r="M127" s="68"/>
      <c r="N127" s="68"/>
      <c r="O127" s="68"/>
      <c r="P127" s="68"/>
      <c r="Q127" s="68"/>
      <c r="R127" s="68"/>
      <c r="S127" s="68"/>
      <c r="T127" s="68"/>
      <c r="U127" s="68"/>
      <c r="V127" s="68"/>
      <c r="W127" s="68"/>
      <c r="X127" s="68"/>
      <c r="Y127" s="68"/>
    </row>
    <row r="128" spans="6:25" x14ac:dyDescent="0.25">
      <c r="F128" s="71" t="s">
        <v>236</v>
      </c>
      <c r="G128" s="68"/>
      <c r="H128" s="68"/>
      <c r="I128" s="68"/>
      <c r="J128" s="68"/>
      <c r="K128" s="68"/>
      <c r="L128" s="68"/>
      <c r="M128" s="68"/>
      <c r="N128" s="68"/>
      <c r="O128" s="68"/>
      <c r="P128" s="68"/>
      <c r="Q128" s="68"/>
      <c r="R128" s="68"/>
      <c r="S128" s="68"/>
      <c r="T128" s="68"/>
      <c r="U128" s="68"/>
      <c r="V128" s="68"/>
      <c r="W128" s="68"/>
      <c r="X128" s="68"/>
      <c r="Y128" s="68"/>
    </row>
    <row r="129" spans="6:25" x14ac:dyDescent="0.25">
      <c r="F129" s="71" t="s">
        <v>236</v>
      </c>
      <c r="G129" s="69"/>
      <c r="H129" s="69"/>
      <c r="I129" s="69"/>
      <c r="J129" s="69"/>
      <c r="K129" s="69"/>
      <c r="L129" s="69"/>
      <c r="M129" s="69"/>
      <c r="N129" s="69"/>
      <c r="O129" s="69"/>
      <c r="P129" s="69"/>
      <c r="Q129" s="69"/>
      <c r="R129" s="69"/>
      <c r="S129" s="69"/>
      <c r="T129" s="69"/>
      <c r="U129" s="69"/>
      <c r="V129" s="69"/>
      <c r="W129" s="69"/>
      <c r="X129" s="69"/>
      <c r="Y129" s="69"/>
    </row>
    <row r="130" spans="6:25" x14ac:dyDescent="0.25">
      <c r="F130" s="71" t="s">
        <v>236</v>
      </c>
      <c r="G130" s="68"/>
      <c r="H130" s="68"/>
      <c r="I130" s="68"/>
      <c r="J130" s="68"/>
      <c r="K130" s="68"/>
      <c r="L130" s="68"/>
      <c r="M130" s="68"/>
      <c r="N130" s="68"/>
      <c r="O130" s="68"/>
      <c r="P130" s="68"/>
      <c r="Q130" s="68"/>
      <c r="R130" s="68"/>
      <c r="S130" s="68"/>
      <c r="T130" s="68"/>
      <c r="U130" s="68"/>
      <c r="V130" s="68"/>
      <c r="W130" s="68"/>
      <c r="X130" s="68"/>
      <c r="Y130" s="68"/>
    </row>
    <row r="131" spans="6:25" x14ac:dyDescent="0.25">
      <c r="F131" s="71" t="s">
        <v>236</v>
      </c>
      <c r="G131" s="68"/>
      <c r="H131" s="68"/>
      <c r="I131" s="68"/>
      <c r="J131" s="68"/>
      <c r="K131" s="68"/>
      <c r="L131" s="68"/>
      <c r="M131" s="68"/>
      <c r="N131" s="68"/>
      <c r="O131" s="68"/>
      <c r="P131" s="68"/>
      <c r="Q131" s="68"/>
      <c r="R131" s="68"/>
      <c r="S131" s="68"/>
      <c r="T131" s="68"/>
      <c r="U131" s="68"/>
      <c r="V131" s="68"/>
      <c r="W131" s="68"/>
      <c r="X131" s="68"/>
      <c r="Y131" s="68"/>
    </row>
    <row r="132" spans="6:25" x14ac:dyDescent="0.25">
      <c r="F132" s="71" t="s">
        <v>236</v>
      </c>
      <c r="G132" s="68"/>
      <c r="H132" s="68"/>
      <c r="I132" s="68"/>
      <c r="J132" s="68"/>
      <c r="K132" s="68"/>
      <c r="L132" s="68"/>
      <c r="M132" s="68"/>
      <c r="N132" s="68"/>
      <c r="O132" s="68"/>
      <c r="P132" s="68"/>
      <c r="Q132" s="68"/>
      <c r="R132" s="68"/>
      <c r="S132" s="68"/>
      <c r="T132" s="68"/>
      <c r="U132" s="68"/>
      <c r="V132" s="68"/>
      <c r="W132" s="68"/>
      <c r="X132" s="68"/>
      <c r="Y132" s="68"/>
    </row>
  </sheetData>
  <mergeCells count="3">
    <mergeCell ref="B2:C2"/>
    <mergeCell ref="B3:C3"/>
    <mergeCell ref="B4:C4"/>
  </mergeCells>
  <conditionalFormatting sqref="F69">
    <cfRule type="expression" dxfId="29" priority="29">
      <formula>$F$69=""</formula>
    </cfRule>
    <cfRule type="expression" dxfId="28" priority="30">
      <formula>OR($F$71&lt;$F$70,$F$71&gt;$F$72)</formula>
    </cfRule>
    <cfRule type="expression" dxfId="27" priority="31">
      <formula>AND($F$71&gt;=$F$70,$F$71&lt;=$F$72)</formula>
    </cfRule>
  </conditionalFormatting>
  <conditionalFormatting sqref="K69">
    <cfRule type="expression" dxfId="26" priority="35">
      <formula>$K$69=""</formula>
    </cfRule>
    <cfRule type="expression" dxfId="25" priority="36">
      <formula>OR($K$71&lt;$K$70,$K$71&gt;$K$72)</formula>
    </cfRule>
    <cfRule type="expression" dxfId="24" priority="37">
      <formula>AND($K$71&gt;=$K$70,$K$71&lt;=$K$72)</formula>
    </cfRule>
  </conditionalFormatting>
  <conditionalFormatting sqref="O69">
    <cfRule type="expression" dxfId="23" priority="32">
      <formula>$O$69=""</formula>
    </cfRule>
    <cfRule type="expression" dxfId="22" priority="33">
      <formula>OR($O$71&lt;$O$70,$O$71&gt;$O$72)</formula>
    </cfRule>
    <cfRule type="expression" dxfId="21" priority="34">
      <formula>AND($O$71&gt;=$O$70,$O$71&lt;=$O$72)</formula>
    </cfRule>
  </conditionalFormatting>
  <conditionalFormatting sqref="S69">
    <cfRule type="expression" dxfId="20" priority="41">
      <formula>$S$69=""</formula>
    </cfRule>
    <cfRule type="expression" dxfId="19" priority="42">
      <formula>OR($S$71&lt;$S$70,$S$71&gt;$S$72)</formula>
    </cfRule>
    <cfRule type="expression" dxfId="18" priority="43">
      <formula>AND($K$71&gt;=$K$70,$K$71&lt;=$K$72)</formula>
    </cfRule>
  </conditionalFormatting>
  <conditionalFormatting sqref="Y69">
    <cfRule type="expression" dxfId="17" priority="38">
      <formula>$Y$69=""</formula>
    </cfRule>
    <cfRule type="expression" dxfId="16" priority="39">
      <formula>OR($Y$71&lt;$Y$70,$Y$71&gt;$Y$72)</formula>
    </cfRule>
    <cfRule type="expression" dxfId="15" priority="40">
      <formula>AND($Y$71&gt;=$Y$70,$Y$71&lt;=$Y$72)</formula>
    </cfRule>
  </conditionalFormatting>
  <hyperlinks>
    <hyperlink ref="B4" location="'SOE DETAILS'!A1" display="SOE DETAILS" xr:uid="{7F4C75BA-0CFF-4140-B13C-7E9D533A7676}"/>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2561F-806F-48D3-9220-2E07B5E929E6}">
  <sheetPr codeName="Sheet10">
    <tabColor theme="5" tint="-0.249977111117893"/>
  </sheetPr>
  <dimension ref="B2:AA32"/>
  <sheetViews>
    <sheetView showGridLines="0" zoomScale="85" zoomScaleNormal="85" workbookViewId="0">
      <selection activeCell="O30" sqref="O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52" style="1" bestFit="1" customWidth="1"/>
    <col min="7" max="10" width="10.44140625" style="1" customWidth="1"/>
    <col min="11" max="15" width="9.21875" style="1"/>
    <col min="16" max="20" width="11" style="1" customWidth="1"/>
    <col min="21" max="24" width="9.21875" style="1"/>
    <col min="25" max="25" width="9.44140625" style="1" bestFit="1" customWidth="1"/>
    <col min="26" max="16384" width="9.21875" style="1"/>
  </cols>
  <sheetData>
    <row r="2" spans="2:27" x14ac:dyDescent="0.25">
      <c r="B2" s="374" t="s">
        <v>191</v>
      </c>
      <c r="C2" s="374"/>
      <c r="F2" s="21" t="s">
        <v>193</v>
      </c>
      <c r="G2" s="22"/>
      <c r="H2" s="22"/>
      <c r="I2" s="22"/>
      <c r="J2" s="22"/>
      <c r="K2" s="22"/>
      <c r="L2" s="22"/>
      <c r="M2" s="22"/>
      <c r="N2" s="22"/>
      <c r="O2" s="22"/>
      <c r="P2" s="22"/>
      <c r="Q2" s="22"/>
      <c r="R2" s="22"/>
      <c r="S2" s="22"/>
      <c r="T2" s="22"/>
      <c r="U2" s="22"/>
      <c r="V2" s="22"/>
      <c r="W2" s="22"/>
      <c r="X2" s="22"/>
      <c r="Y2" s="22"/>
      <c r="Z2" s="22"/>
      <c r="AA2" s="22"/>
    </row>
    <row r="3" spans="2:27" x14ac:dyDescent="0.25">
      <c r="B3" s="375" t="s">
        <v>192</v>
      </c>
      <c r="C3" s="375"/>
      <c r="F3" s="343" t="s">
        <v>369</v>
      </c>
      <c r="G3" s="20"/>
      <c r="H3" s="20"/>
      <c r="I3" s="20"/>
      <c r="J3" s="20"/>
      <c r="K3" s="20"/>
      <c r="L3" s="20"/>
      <c r="M3" s="20"/>
      <c r="N3" s="20"/>
      <c r="O3" s="20"/>
      <c r="P3" s="20"/>
      <c r="Q3" s="20"/>
      <c r="R3" s="20"/>
      <c r="S3" s="20"/>
      <c r="T3" s="20"/>
      <c r="U3" s="20"/>
      <c r="V3" s="20"/>
      <c r="W3" s="20"/>
      <c r="X3" s="20"/>
      <c r="Y3" s="20"/>
      <c r="Z3" s="20"/>
      <c r="AA3" s="20"/>
    </row>
    <row r="4" spans="2:27" ht="20.399999999999999" x14ac:dyDescent="0.25">
      <c r="B4" s="398" t="s">
        <v>189</v>
      </c>
      <c r="C4" s="398"/>
      <c r="F4" s="23" t="s">
        <v>179</v>
      </c>
      <c r="G4" s="24"/>
      <c r="H4" s="24"/>
      <c r="I4" s="24"/>
      <c r="J4" s="24"/>
      <c r="K4" s="24"/>
      <c r="L4" s="24"/>
      <c r="M4" s="24"/>
      <c r="N4" s="24"/>
      <c r="O4" s="24"/>
      <c r="P4" s="24"/>
      <c r="Q4" s="24"/>
      <c r="R4" s="24"/>
      <c r="S4" s="24"/>
      <c r="T4" s="24"/>
      <c r="U4" s="24"/>
      <c r="V4" s="24"/>
      <c r="W4" s="24"/>
      <c r="X4" s="24"/>
      <c r="Y4" s="24"/>
      <c r="Z4" s="24"/>
      <c r="AA4" s="24"/>
    </row>
    <row r="6" spans="2:27" ht="14.25" customHeight="1" x14ac:dyDescent="0.25">
      <c r="F6" s="25"/>
      <c r="G6" s="317" t="str">
        <f>'SD_CS (f)'!G6</f>
        <v/>
      </c>
      <c r="H6" s="44" t="s">
        <v>455</v>
      </c>
      <c r="P6" s="379" t="s">
        <v>442</v>
      </c>
      <c r="Q6" s="379"/>
      <c r="R6" s="379"/>
      <c r="S6" s="379"/>
      <c r="T6" s="379"/>
    </row>
    <row r="7" spans="2:27" x14ac:dyDescent="0.25">
      <c r="F7" s="25"/>
      <c r="P7" s="379"/>
      <c r="Q7" s="379"/>
      <c r="R7" s="379"/>
      <c r="S7" s="379"/>
      <c r="T7" s="379"/>
    </row>
    <row r="8" spans="2:27" s="14" customFormat="1" x14ac:dyDescent="0.3">
      <c r="E8" s="63"/>
      <c r="F8" s="116" t="s">
        <v>370</v>
      </c>
      <c r="G8" s="8" t="s">
        <v>178</v>
      </c>
      <c r="H8" s="27" t="s">
        <v>347</v>
      </c>
      <c r="I8" s="27" t="s">
        <v>348</v>
      </c>
      <c r="J8" s="27" t="s">
        <v>349</v>
      </c>
      <c r="L8" s="349"/>
      <c r="P8" s="379"/>
      <c r="Q8" s="379"/>
      <c r="R8" s="379"/>
      <c r="S8" s="379"/>
      <c r="T8" s="379"/>
    </row>
    <row r="9" spans="2:27" s="14" customFormat="1" ht="14.4" x14ac:dyDescent="0.25">
      <c r="E9" s="63"/>
      <c r="F9" s="25" t="s">
        <v>257</v>
      </c>
      <c r="G9" s="318"/>
      <c r="H9" s="318"/>
      <c r="I9" s="318"/>
      <c r="J9" s="318"/>
      <c r="K9" s="29"/>
      <c r="P9" s="379"/>
      <c r="Q9" s="379"/>
      <c r="R9" s="379"/>
      <c r="S9" s="379"/>
      <c r="T9" s="379"/>
      <c r="W9" s="52" t="s">
        <v>239</v>
      </c>
    </row>
    <row r="10" spans="2:27" s="14" customFormat="1" x14ac:dyDescent="0.25">
      <c r="E10" s="63"/>
      <c r="G10" s="1"/>
      <c r="P10" s="379"/>
      <c r="Q10" s="379"/>
      <c r="R10" s="379"/>
      <c r="S10" s="379"/>
      <c r="T10" s="379"/>
      <c r="W10" s="75" t="s">
        <v>237</v>
      </c>
      <c r="X10" s="315">
        <f>ROUNDDOWN(MIN(G6,G9,G11,G13,H9,I9,J9),2)</f>
        <v>0</v>
      </c>
      <c r="Y10" s="77" t="e" cm="1">
        <f t="array" aca="1" ref="Y10" ca="1">setChartAxis("SD_CS","Chart SD_CS1","Min","Value","Primary",X10)</f>
        <v>#NAME?</v>
      </c>
      <c r="Z10" s="77"/>
      <c r="AA10" s="78"/>
    </row>
    <row r="11" spans="2:27" s="14" customFormat="1" x14ac:dyDescent="0.25">
      <c r="E11" s="63"/>
      <c r="F11" s="25"/>
      <c r="G11" s="317" t="str">
        <f>'SD_CS (f)'!O13</f>
        <v/>
      </c>
      <c r="H11" s="14" t="s">
        <v>350</v>
      </c>
      <c r="P11" s="1"/>
      <c r="Q11" s="1"/>
      <c r="R11" s="1"/>
      <c r="S11" s="1"/>
      <c r="T11" s="1"/>
      <c r="W11" s="79" t="s">
        <v>238</v>
      </c>
      <c r="X11" s="316">
        <f>ROUNDUP(MAX(G6,G9,H9,I9,G11,G13,J9),2)</f>
        <v>0</v>
      </c>
      <c r="Y11" s="81" t="e" cm="1">
        <f t="array" aca="1" ref="Y11" ca="1">setChartAxis("SD_CS","Chart SD_CS1","Max","Value","Primary",X11)</f>
        <v>#NAME?</v>
      </c>
      <c r="Z11" s="81"/>
      <c r="AA11" s="82"/>
    </row>
    <row r="12" spans="2:27" s="14" customFormat="1" x14ac:dyDescent="0.25">
      <c r="E12" s="63"/>
      <c r="F12" s="25"/>
      <c r="P12" s="38" t="s">
        <v>202</v>
      </c>
      <c r="Q12" s="38"/>
      <c r="R12" s="38"/>
      <c r="S12" s="38"/>
      <c r="T12" s="38"/>
      <c r="U12" s="38"/>
      <c r="V12" s="38"/>
    </row>
    <row r="13" spans="2:27" x14ac:dyDescent="0.25">
      <c r="F13" s="2"/>
      <c r="G13" s="317" t="str">
        <f>'SD_CS (f)'!O14</f>
        <v/>
      </c>
      <c r="H13" s="14" t="s">
        <v>351</v>
      </c>
      <c r="N13" s="14"/>
      <c r="O13" s="14"/>
      <c r="P13" s="1" t="s">
        <v>352</v>
      </c>
      <c r="Q13" s="14"/>
      <c r="R13" s="14"/>
      <c r="S13" s="14"/>
      <c r="T13" s="14"/>
      <c r="U13" s="14"/>
      <c r="V13" s="14"/>
    </row>
    <row r="14" spans="2:27" s="14" customFormat="1" x14ac:dyDescent="0.25">
      <c r="E14" s="63"/>
      <c r="F14" s="1"/>
    </row>
    <row r="15" spans="2:27" s="14" customFormat="1" x14ac:dyDescent="0.3">
      <c r="E15" s="63"/>
      <c r="F15" s="319" t="s">
        <v>371</v>
      </c>
      <c r="G15" s="320">
        <f>ROUNDUP(MAX(G6,G9,H9,I9,J9,G11,G13),2)</f>
        <v>0</v>
      </c>
      <c r="H15" s="320">
        <f>ROUNDUP(MAX(G6,G9,H9,I9,J9,G11,G13),2)</f>
        <v>0</v>
      </c>
      <c r="I15" s="320">
        <f>ROUNDUP(MAX(G6,G9,H9,I9,J9,G11,G13),2)</f>
        <v>0</v>
      </c>
      <c r="J15" s="320">
        <f>ROUNDUP(MAX(G6,G9,H9,I9,J9,G11,G13),2)</f>
        <v>0</v>
      </c>
      <c r="K15" s="14" t="s">
        <v>233</v>
      </c>
    </row>
    <row r="16" spans="2:27" s="14" customFormat="1" x14ac:dyDescent="0.3">
      <c r="E16" s="63"/>
      <c r="K16" s="73" t="s">
        <v>236</v>
      </c>
      <c r="L16" s="57"/>
      <c r="M16" s="57"/>
      <c r="N16" s="57"/>
      <c r="O16" s="57"/>
      <c r="P16" s="57"/>
      <c r="Q16" s="57"/>
      <c r="R16" s="57"/>
      <c r="S16" s="57"/>
      <c r="T16" s="57"/>
      <c r="U16" s="57"/>
      <c r="V16" s="57"/>
      <c r="W16" s="57"/>
      <c r="X16" s="57"/>
      <c r="Y16" s="57"/>
      <c r="Z16" s="57"/>
      <c r="AA16" s="57"/>
    </row>
    <row r="17" spans="5:27" s="14" customFormat="1" x14ac:dyDescent="0.3">
      <c r="E17" s="63"/>
      <c r="K17" s="73" t="s">
        <v>236</v>
      </c>
      <c r="L17" s="57"/>
      <c r="M17" s="57"/>
      <c r="N17" s="57"/>
      <c r="O17" s="57"/>
      <c r="P17" s="57"/>
      <c r="Q17" s="57"/>
      <c r="R17" s="57"/>
      <c r="S17" s="57"/>
      <c r="T17" s="57"/>
      <c r="U17" s="57"/>
      <c r="V17" s="57"/>
      <c r="W17" s="57"/>
      <c r="X17" s="57"/>
      <c r="Y17" s="57"/>
      <c r="Z17" s="57"/>
      <c r="AA17" s="57"/>
    </row>
    <row r="18" spans="5:27" s="14" customFormat="1" x14ac:dyDescent="0.3">
      <c r="E18" s="63"/>
      <c r="K18" s="73" t="s">
        <v>236</v>
      </c>
      <c r="L18" s="57"/>
      <c r="M18" s="57"/>
      <c r="N18" s="57"/>
      <c r="O18" s="57"/>
      <c r="P18" s="57"/>
      <c r="Q18" s="57"/>
      <c r="R18" s="57"/>
      <c r="S18" s="57"/>
      <c r="T18" s="57"/>
      <c r="U18" s="57"/>
      <c r="V18" s="57"/>
      <c r="W18" s="57"/>
      <c r="X18" s="57"/>
      <c r="Y18" s="57"/>
      <c r="Z18" s="57"/>
      <c r="AA18" s="57"/>
    </row>
    <row r="19" spans="5:27" x14ac:dyDescent="0.25">
      <c r="F19" s="14"/>
      <c r="K19" s="73" t="s">
        <v>236</v>
      </c>
      <c r="L19" s="56"/>
      <c r="M19" s="56"/>
      <c r="N19" s="56"/>
      <c r="O19" s="56"/>
      <c r="P19" s="56"/>
      <c r="Q19" s="56"/>
      <c r="R19" s="56"/>
      <c r="S19" s="56"/>
      <c r="T19" s="56"/>
      <c r="U19" s="56"/>
      <c r="V19" s="56"/>
      <c r="W19" s="56"/>
      <c r="X19" s="56"/>
      <c r="Y19" s="56"/>
      <c r="Z19" s="56"/>
      <c r="AA19" s="56"/>
    </row>
    <row r="20" spans="5:27" s="14" customFormat="1" x14ac:dyDescent="0.3">
      <c r="E20" s="63"/>
      <c r="K20" s="73" t="s">
        <v>236</v>
      </c>
      <c r="L20" s="57"/>
      <c r="M20" s="57"/>
      <c r="N20" s="57"/>
      <c r="O20" s="57"/>
      <c r="P20" s="57"/>
      <c r="Q20" s="57"/>
      <c r="R20" s="57"/>
      <c r="S20" s="57"/>
      <c r="T20" s="57"/>
      <c r="U20" s="57"/>
      <c r="V20" s="57"/>
      <c r="W20" s="57"/>
      <c r="X20" s="57"/>
      <c r="Y20" s="57"/>
      <c r="Z20" s="57"/>
      <c r="AA20" s="57"/>
    </row>
    <row r="21" spans="5:27" s="14" customFormat="1" x14ac:dyDescent="0.25">
      <c r="E21" s="63"/>
      <c r="F21" s="1"/>
      <c r="K21" s="73" t="s">
        <v>236</v>
      </c>
      <c r="L21" s="57"/>
      <c r="M21" s="57"/>
      <c r="N21" s="57"/>
      <c r="O21" s="57"/>
      <c r="P21" s="57"/>
      <c r="Q21" s="57"/>
      <c r="R21" s="57"/>
      <c r="S21" s="57"/>
      <c r="T21" s="57"/>
      <c r="U21" s="57"/>
      <c r="V21" s="57"/>
      <c r="W21" s="57"/>
      <c r="X21" s="57"/>
      <c r="Y21" s="57"/>
      <c r="Z21" s="57"/>
      <c r="AA21" s="57"/>
    </row>
    <row r="22" spans="5:27" s="14" customFormat="1" x14ac:dyDescent="0.25">
      <c r="E22" s="63"/>
      <c r="F22" s="1"/>
      <c r="K22" s="73" t="s">
        <v>236</v>
      </c>
      <c r="L22" s="57"/>
      <c r="M22" s="57"/>
      <c r="N22" s="57"/>
      <c r="O22" s="57"/>
      <c r="P22" s="57"/>
      <c r="Q22" s="57"/>
      <c r="R22" s="57"/>
      <c r="S22" s="57"/>
      <c r="T22" s="57"/>
      <c r="U22" s="57"/>
      <c r="V22" s="57"/>
      <c r="W22" s="57"/>
      <c r="X22" s="57"/>
      <c r="Y22" s="57"/>
      <c r="Z22" s="57"/>
      <c r="AA22" s="57"/>
    </row>
    <row r="23" spans="5:27" s="14" customFormat="1" x14ac:dyDescent="0.25">
      <c r="E23" s="63"/>
      <c r="F23" s="1"/>
    </row>
    <row r="24" spans="5:27" s="14" customFormat="1" x14ac:dyDescent="0.25">
      <c r="E24" s="63"/>
      <c r="F24" s="1"/>
      <c r="K24" s="14" t="s">
        <v>234</v>
      </c>
    </row>
    <row r="25" spans="5:27" x14ac:dyDescent="0.25">
      <c r="K25" s="73" t="s">
        <v>236</v>
      </c>
      <c r="L25" s="57"/>
      <c r="M25" s="57"/>
      <c r="N25" s="57"/>
      <c r="O25" s="57"/>
      <c r="P25" s="57"/>
      <c r="Q25" s="57"/>
      <c r="R25" s="57"/>
      <c r="S25" s="57"/>
      <c r="T25" s="57"/>
      <c r="U25" s="57"/>
      <c r="V25" s="57"/>
      <c r="W25" s="57"/>
      <c r="X25" s="57"/>
      <c r="Y25" s="57"/>
      <c r="Z25" s="57"/>
      <c r="AA25" s="57"/>
    </row>
    <row r="26" spans="5:27" x14ac:dyDescent="0.25">
      <c r="K26" s="73" t="s">
        <v>236</v>
      </c>
      <c r="L26" s="57"/>
      <c r="M26" s="57"/>
      <c r="N26" s="57"/>
      <c r="O26" s="57"/>
      <c r="P26" s="57"/>
      <c r="Q26" s="57"/>
      <c r="R26" s="57"/>
      <c r="S26" s="57"/>
      <c r="T26" s="57"/>
      <c r="U26" s="57"/>
      <c r="V26" s="57"/>
      <c r="W26" s="57"/>
      <c r="X26" s="57"/>
      <c r="Y26" s="57"/>
      <c r="Z26" s="57"/>
      <c r="AA26" s="57"/>
    </row>
    <row r="27" spans="5:27" x14ac:dyDescent="0.25">
      <c r="K27" s="73" t="s">
        <v>236</v>
      </c>
      <c r="L27" s="57"/>
      <c r="M27" s="57"/>
      <c r="N27" s="57"/>
      <c r="O27" s="57"/>
      <c r="P27" s="57"/>
      <c r="Q27" s="57"/>
      <c r="R27" s="57"/>
      <c r="S27" s="57"/>
      <c r="T27" s="57"/>
      <c r="U27" s="57"/>
      <c r="V27" s="57"/>
      <c r="W27" s="57"/>
      <c r="X27" s="57"/>
      <c r="Y27" s="57"/>
      <c r="Z27" s="57"/>
      <c r="AA27" s="57"/>
    </row>
    <row r="28" spans="5:27" x14ac:dyDescent="0.25">
      <c r="K28" s="73" t="s">
        <v>236</v>
      </c>
      <c r="L28" s="56"/>
      <c r="M28" s="56"/>
      <c r="N28" s="56"/>
      <c r="O28" s="56"/>
      <c r="P28" s="56"/>
      <c r="Q28" s="56"/>
      <c r="R28" s="56"/>
      <c r="S28" s="56"/>
      <c r="T28" s="56"/>
      <c r="U28" s="56"/>
      <c r="V28" s="56"/>
      <c r="W28" s="56"/>
      <c r="X28" s="56"/>
      <c r="Y28" s="56"/>
      <c r="Z28" s="56"/>
      <c r="AA28" s="56"/>
    </row>
    <row r="29" spans="5:27" x14ac:dyDescent="0.25">
      <c r="K29" s="73" t="s">
        <v>236</v>
      </c>
      <c r="L29" s="57"/>
      <c r="M29" s="57"/>
      <c r="N29" s="57"/>
      <c r="O29" s="57"/>
      <c r="P29" s="57"/>
      <c r="Q29" s="57"/>
      <c r="R29" s="57"/>
      <c r="S29" s="57"/>
      <c r="T29" s="57"/>
      <c r="U29" s="57"/>
      <c r="V29" s="57"/>
      <c r="W29" s="57"/>
      <c r="X29" s="57"/>
      <c r="Y29" s="57"/>
      <c r="Z29" s="57"/>
      <c r="AA29" s="57"/>
    </row>
    <row r="30" spans="5:27" x14ac:dyDescent="0.25">
      <c r="K30" s="73" t="s">
        <v>236</v>
      </c>
      <c r="L30" s="57"/>
      <c r="M30" s="57"/>
      <c r="N30" s="57"/>
      <c r="O30" s="57"/>
      <c r="P30" s="57"/>
      <c r="Q30" s="57"/>
      <c r="R30" s="57"/>
      <c r="S30" s="57"/>
      <c r="T30" s="57"/>
      <c r="U30" s="57"/>
      <c r="V30" s="57"/>
      <c r="W30" s="57"/>
      <c r="X30" s="57"/>
      <c r="Y30" s="57"/>
      <c r="Z30" s="57"/>
      <c r="AA30" s="57"/>
    </row>
    <row r="31" spans="5:27" x14ac:dyDescent="0.25">
      <c r="K31" s="73" t="s">
        <v>236</v>
      </c>
      <c r="L31" s="57"/>
      <c r="M31" s="57"/>
      <c r="N31" s="57"/>
      <c r="O31" s="57"/>
      <c r="P31" s="57"/>
      <c r="Q31" s="57"/>
      <c r="R31" s="57"/>
      <c r="S31" s="57"/>
      <c r="T31" s="57"/>
      <c r="U31" s="57"/>
      <c r="V31" s="57"/>
      <c r="W31" s="57"/>
      <c r="X31" s="57"/>
      <c r="Y31" s="57"/>
      <c r="Z31" s="57"/>
      <c r="AA31" s="57"/>
    </row>
    <row r="32" spans="5:27" x14ac:dyDescent="0.25">
      <c r="K32" s="14"/>
      <c r="L32" s="14"/>
      <c r="M32" s="14"/>
      <c r="N32" s="14"/>
      <c r="O32" s="14"/>
      <c r="P32" s="14"/>
      <c r="Q32" s="14"/>
      <c r="R32" s="14"/>
    </row>
  </sheetData>
  <mergeCells count="4">
    <mergeCell ref="B2:C2"/>
    <mergeCell ref="B3:C3"/>
    <mergeCell ref="B4:C4"/>
    <mergeCell ref="P6:T10"/>
  </mergeCells>
  <hyperlinks>
    <hyperlink ref="B4" location="'SOE DETAILS'!A1" display="SOE DETAILS" xr:uid="{87551983-A15C-4FAE-A022-D225F76CF48C}"/>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3F1DD-0419-47F2-92F5-4B5676FEDBB2}">
  <sheetPr codeName="Sheet11">
    <tabColor theme="5" tint="-0.249977111117893"/>
  </sheetPr>
  <dimension ref="B2:AC38"/>
  <sheetViews>
    <sheetView showGridLines="0" zoomScale="85" zoomScaleNormal="85" workbookViewId="0">
      <selection activeCell="O30" sqref="O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34.5546875" style="1" customWidth="1"/>
    <col min="7" max="10" width="12.5546875" style="1" customWidth="1"/>
    <col min="11" max="15" width="9.21875" style="1"/>
    <col min="16" max="20" width="11.5546875" style="1" customWidth="1"/>
    <col min="21" max="26" width="9.21875" style="1"/>
    <col min="27" max="27" width="9.44140625" style="1" bestFit="1" customWidth="1"/>
    <col min="28" max="16384" width="9.21875" style="1"/>
  </cols>
  <sheetData>
    <row r="2" spans="2:29" x14ac:dyDescent="0.25">
      <c r="B2" s="374" t="s">
        <v>191</v>
      </c>
      <c r="C2" s="374"/>
      <c r="F2" s="21" t="s">
        <v>193</v>
      </c>
      <c r="G2" s="22"/>
      <c r="H2" s="22"/>
      <c r="I2" s="22"/>
      <c r="J2" s="22"/>
      <c r="K2" s="22"/>
      <c r="L2" s="22"/>
      <c r="M2" s="22"/>
      <c r="N2" s="22"/>
      <c r="O2" s="22"/>
      <c r="P2" s="22"/>
      <c r="Q2" s="22"/>
      <c r="R2" s="22"/>
      <c r="S2" s="22"/>
      <c r="T2" s="22"/>
      <c r="U2" s="22"/>
      <c r="V2" s="22"/>
      <c r="W2" s="22"/>
      <c r="X2" s="22"/>
      <c r="Y2" s="22"/>
      <c r="Z2" s="22"/>
      <c r="AA2" s="22"/>
      <c r="AB2" s="22"/>
    </row>
    <row r="3" spans="2:29" x14ac:dyDescent="0.25">
      <c r="B3" s="375" t="s">
        <v>192</v>
      </c>
      <c r="C3" s="375"/>
      <c r="F3" s="343" t="s">
        <v>369</v>
      </c>
      <c r="G3" s="20"/>
      <c r="H3" s="20"/>
      <c r="I3" s="20"/>
      <c r="J3" s="20"/>
      <c r="K3" s="20"/>
      <c r="L3" s="20"/>
      <c r="M3" s="20"/>
      <c r="N3" s="20"/>
      <c r="O3" s="20"/>
      <c r="P3" s="20"/>
      <c r="Q3" s="20"/>
      <c r="R3" s="20"/>
      <c r="S3" s="20"/>
      <c r="T3" s="20"/>
      <c r="U3" s="20"/>
      <c r="V3" s="20"/>
      <c r="W3" s="20"/>
      <c r="X3" s="20"/>
      <c r="Y3" s="20"/>
      <c r="Z3" s="20"/>
      <c r="AA3" s="20"/>
      <c r="AB3" s="20"/>
    </row>
    <row r="4" spans="2:29" ht="20.399999999999999" x14ac:dyDescent="0.25">
      <c r="B4" s="398" t="s">
        <v>189</v>
      </c>
      <c r="C4" s="398"/>
      <c r="F4" s="23" t="s">
        <v>194</v>
      </c>
      <c r="G4" s="24"/>
      <c r="H4" s="24"/>
      <c r="I4" s="24"/>
      <c r="J4" s="24"/>
      <c r="K4" s="24"/>
      <c r="L4" s="24"/>
      <c r="M4" s="24"/>
      <c r="N4" s="24"/>
      <c r="O4" s="24"/>
      <c r="P4" s="24"/>
      <c r="Q4" s="24"/>
      <c r="R4" s="24"/>
      <c r="S4" s="24"/>
      <c r="T4" s="24"/>
      <c r="U4" s="24"/>
      <c r="V4" s="24"/>
      <c r="W4" s="24"/>
      <c r="X4" s="24"/>
      <c r="Y4" s="24"/>
      <c r="Z4" s="24"/>
      <c r="AA4" s="24"/>
      <c r="AB4" s="24"/>
    </row>
    <row r="6" spans="2:29" x14ac:dyDescent="0.25">
      <c r="F6" s="25"/>
      <c r="G6" s="280" t="str">
        <f>'FINANŠU MĒRĶU NOTEIKŠANA'!H117</f>
        <v/>
      </c>
      <c r="H6" s="44" t="s">
        <v>456</v>
      </c>
      <c r="Q6" s="351"/>
    </row>
    <row r="7" spans="2:29" x14ac:dyDescent="0.25">
      <c r="F7" s="25"/>
      <c r="H7" s="44"/>
      <c r="L7" s="14" t="s">
        <v>233</v>
      </c>
      <c r="M7" s="14"/>
      <c r="N7" s="14"/>
      <c r="O7" s="14"/>
      <c r="P7" s="14"/>
      <c r="Q7" s="14"/>
      <c r="R7" s="14"/>
      <c r="S7" s="14"/>
    </row>
    <row r="8" spans="2:29" s="14" customFormat="1" x14ac:dyDescent="0.25">
      <c r="E8" s="63"/>
      <c r="F8" s="25"/>
      <c r="G8" s="280">
        <f>'FINANŠU MĒRĶU NOTEIKŠANA'!H121</f>
        <v>0</v>
      </c>
      <c r="H8" s="44" t="s">
        <v>449</v>
      </c>
      <c r="I8" s="1"/>
      <c r="J8" s="1"/>
      <c r="K8" s="1"/>
      <c r="L8" s="73" t="s">
        <v>236</v>
      </c>
      <c r="M8" s="57"/>
      <c r="N8" s="57"/>
      <c r="O8" s="57"/>
      <c r="P8" s="57"/>
      <c r="Q8" s="57"/>
      <c r="R8" s="57"/>
      <c r="S8" s="57"/>
      <c r="T8" s="57"/>
      <c r="U8" s="57"/>
      <c r="V8" s="57"/>
      <c r="W8" s="57"/>
      <c r="X8" s="46"/>
    </row>
    <row r="9" spans="2:29" s="14" customFormat="1" x14ac:dyDescent="0.25">
      <c r="E9" s="63"/>
      <c r="F9" s="25"/>
      <c r="G9" s="44"/>
      <c r="H9" s="44"/>
      <c r="I9" s="1"/>
      <c r="J9" s="1"/>
      <c r="K9" s="1"/>
      <c r="L9" s="73" t="s">
        <v>236</v>
      </c>
      <c r="M9" s="57"/>
      <c r="N9" s="57"/>
      <c r="O9" s="57"/>
      <c r="P9" s="57"/>
      <c r="Q9" s="57"/>
      <c r="R9" s="57"/>
      <c r="S9" s="57"/>
      <c r="T9" s="57"/>
      <c r="U9" s="57"/>
      <c r="V9" s="57"/>
      <c r="W9" s="57"/>
      <c r="X9" s="352"/>
    </row>
    <row r="10" spans="2:29" s="14" customFormat="1" x14ac:dyDescent="0.25">
      <c r="E10" s="63"/>
      <c r="F10" s="25"/>
      <c r="G10" s="280">
        <f>'FINANŠU MĒRĶU NOTEIKŠANA'!H126</f>
        <v>0</v>
      </c>
      <c r="H10" s="44" t="s">
        <v>450</v>
      </c>
      <c r="I10" s="1"/>
      <c r="J10" s="1"/>
      <c r="K10" s="1"/>
      <c r="L10" s="73" t="s">
        <v>236</v>
      </c>
      <c r="M10" s="57"/>
      <c r="N10" s="57"/>
      <c r="O10" s="57"/>
      <c r="P10" s="57"/>
      <c r="Q10" s="57"/>
      <c r="R10" s="57"/>
      <c r="S10" s="57"/>
      <c r="T10" s="57"/>
      <c r="U10" s="57"/>
      <c r="V10" s="57"/>
      <c r="W10" s="57"/>
      <c r="X10" s="46"/>
    </row>
    <row r="11" spans="2:29" s="14" customFormat="1" x14ac:dyDescent="0.25">
      <c r="E11" s="63"/>
      <c r="F11" s="25"/>
      <c r="L11" s="73" t="s">
        <v>236</v>
      </c>
      <c r="M11" s="56"/>
      <c r="N11" s="56"/>
      <c r="O11" s="56"/>
      <c r="P11" s="56"/>
      <c r="Q11" s="56"/>
      <c r="R11" s="56"/>
      <c r="S11" s="56"/>
      <c r="T11" s="56"/>
      <c r="U11" s="56"/>
      <c r="V11" s="56"/>
      <c r="W11" s="56"/>
      <c r="X11" s="46"/>
      <c r="Y11" s="52" t="s">
        <v>239</v>
      </c>
    </row>
    <row r="12" spans="2:29" s="14" customFormat="1" x14ac:dyDescent="0.3">
      <c r="E12" s="63"/>
      <c r="F12" s="116" t="s">
        <v>370</v>
      </c>
      <c r="G12" s="8" t="s">
        <v>178</v>
      </c>
      <c r="H12" s="27" t="s">
        <v>347</v>
      </c>
      <c r="I12" s="27" t="s">
        <v>348</v>
      </c>
      <c r="J12" s="27" t="s">
        <v>349</v>
      </c>
      <c r="L12" s="73" t="s">
        <v>236</v>
      </c>
      <c r="M12" s="57"/>
      <c r="N12" s="57"/>
      <c r="O12" s="57"/>
      <c r="P12" s="57"/>
      <c r="Q12" s="57"/>
      <c r="R12" s="57"/>
      <c r="S12" s="57"/>
      <c r="T12" s="57"/>
      <c r="U12" s="57"/>
      <c r="V12" s="57"/>
      <c r="W12" s="57"/>
      <c r="X12" s="46"/>
      <c r="Y12" s="75" t="s">
        <v>237</v>
      </c>
      <c r="Z12" s="298">
        <f>ROUNDDOWN(MIN(G6,G22,G32,G31,H22,I22,J22),2)</f>
        <v>0</v>
      </c>
      <c r="AA12" s="77" t="e" cm="1">
        <f t="array" aca="1" ref="AA12" ca="1">setChartAxis("SD_RT","Chart SD_RT1","Min","Value","Primary",Z12)</f>
        <v>#NAME?</v>
      </c>
      <c r="AB12" s="99"/>
      <c r="AC12" s="100"/>
    </row>
    <row r="13" spans="2:29" s="14" customFormat="1" ht="14.4" x14ac:dyDescent="0.3">
      <c r="E13" s="63"/>
      <c r="F13" s="25" t="s">
        <v>353</v>
      </c>
      <c r="G13" s="355"/>
      <c r="H13" s="355"/>
      <c r="I13" s="355"/>
      <c r="J13" s="355"/>
      <c r="K13" s="29"/>
      <c r="L13" s="73" t="s">
        <v>236</v>
      </c>
      <c r="M13" s="57"/>
      <c r="N13" s="57"/>
      <c r="O13" s="57"/>
      <c r="P13" s="57"/>
      <c r="Q13" s="57"/>
      <c r="R13" s="57"/>
      <c r="S13" s="57"/>
      <c r="T13" s="57"/>
      <c r="U13" s="57"/>
      <c r="V13" s="57"/>
      <c r="W13" s="57"/>
      <c r="X13" s="46"/>
      <c r="Y13" s="79" t="s">
        <v>238</v>
      </c>
      <c r="Z13" s="299">
        <f>ROUNDUP(MAX(G6,G22,G32,G31,H22,I22,J22),2)</f>
        <v>0</v>
      </c>
      <c r="AA13" s="81" t="e" cm="1">
        <f t="array" aca="1" ref="AA13" ca="1">setChartAxis("SD_RT","Chart SD_RT1","Max","Value","Primary",Z13)</f>
        <v>#NAME?</v>
      </c>
      <c r="AB13" s="65"/>
      <c r="AC13" s="101"/>
    </row>
    <row r="14" spans="2:29" s="14" customFormat="1" x14ac:dyDescent="0.3">
      <c r="E14" s="63"/>
      <c r="F14" s="25" t="s">
        <v>224</v>
      </c>
      <c r="G14" s="321" t="str">
        <f>IFERROR(G13/SUM(G13,G15,G17),"")</f>
        <v/>
      </c>
      <c r="H14" s="321" t="str">
        <f>IFERROR(H13/SUM(H13,H15,H17),"")</f>
        <v/>
      </c>
      <c r="I14" s="321" t="str">
        <f t="shared" ref="I14:J14" si="0">IFERROR(I13/SUM(I13,I15,I17),"")</f>
        <v/>
      </c>
      <c r="J14" s="321" t="str">
        <f t="shared" si="0"/>
        <v/>
      </c>
      <c r="L14" s="73" t="s">
        <v>236</v>
      </c>
      <c r="M14" s="57"/>
      <c r="N14" s="57"/>
      <c r="O14" s="57"/>
      <c r="P14" s="57"/>
      <c r="Q14" s="57"/>
      <c r="R14" s="57"/>
      <c r="S14" s="57"/>
      <c r="T14" s="57"/>
      <c r="U14" s="57"/>
      <c r="V14" s="57"/>
      <c r="W14" s="57"/>
      <c r="X14" s="46"/>
      <c r="Y14" s="52"/>
      <c r="Z14" s="346"/>
      <c r="AA14" s="52"/>
    </row>
    <row r="15" spans="2:29" ht="14.4" x14ac:dyDescent="0.25">
      <c r="F15" s="25" t="s">
        <v>354</v>
      </c>
      <c r="G15" s="355"/>
      <c r="H15" s="355"/>
      <c r="I15" s="355"/>
      <c r="J15" s="355"/>
      <c r="K15" s="37"/>
      <c r="L15" s="73" t="s">
        <v>236</v>
      </c>
      <c r="M15" s="57"/>
      <c r="N15" s="57"/>
      <c r="O15" s="57"/>
      <c r="P15" s="57"/>
      <c r="Q15" s="57"/>
      <c r="R15" s="57"/>
      <c r="S15" s="57"/>
      <c r="T15" s="57"/>
      <c r="U15" s="57"/>
      <c r="V15" s="57"/>
      <c r="W15" s="57"/>
      <c r="X15" s="46"/>
      <c r="Y15" s="75" t="s">
        <v>237</v>
      </c>
      <c r="Z15" s="298">
        <f>ROUNDDOWN(MIN(G8,G24,H24,I24,J24,G34,G35),2)</f>
        <v>0</v>
      </c>
      <c r="AA15" s="77" t="e" cm="1">
        <f t="array" aca="1" ref="AA15" ca="1">setChartAxis("SD_RT","Chart SD_RT2","Min","Value","Primary",Z15)</f>
        <v>#NAME?</v>
      </c>
      <c r="AB15" s="102"/>
      <c r="AC15" s="103"/>
    </row>
    <row r="16" spans="2:29" s="14" customFormat="1" x14ac:dyDescent="0.3">
      <c r="E16" s="63"/>
      <c r="F16" s="25" t="s">
        <v>225</v>
      </c>
      <c r="G16" s="223" t="str">
        <f t="shared" ref="G16:J16" si="1">IFERROR(G15/SUM(G13,G15,G17),"")</f>
        <v/>
      </c>
      <c r="H16" s="223" t="str">
        <f t="shared" si="1"/>
        <v/>
      </c>
      <c r="I16" s="223" t="str">
        <f t="shared" si="1"/>
        <v/>
      </c>
      <c r="J16" s="223" t="str">
        <f t="shared" si="1"/>
        <v/>
      </c>
      <c r="L16" s="73" t="s">
        <v>236</v>
      </c>
      <c r="M16" s="57"/>
      <c r="N16" s="57"/>
      <c r="O16" s="57"/>
      <c r="P16" s="57"/>
      <c r="Q16" s="57"/>
      <c r="R16" s="57"/>
      <c r="S16" s="57"/>
      <c r="T16" s="57"/>
      <c r="U16" s="57"/>
      <c r="V16" s="57"/>
      <c r="W16" s="57"/>
      <c r="X16" s="46"/>
      <c r="Y16" s="79" t="s">
        <v>238</v>
      </c>
      <c r="Z16" s="299">
        <f>ROUNDUP(MAX(G8,G24,H24,I24,J24,G34,G35),2)</f>
        <v>0</v>
      </c>
      <c r="AA16" s="81" t="e" cm="1">
        <f t="array" aca="1" ref="AA16" ca="1">setChartAxis("SD_RT","Chart SD_RT2","Max","Value","Primary",Z16)</f>
        <v>#NAME?</v>
      </c>
      <c r="AB16" s="65"/>
      <c r="AC16" s="101"/>
    </row>
    <row r="17" spans="5:29" s="14" customFormat="1" ht="14.4" x14ac:dyDescent="0.3">
      <c r="E17" s="63"/>
      <c r="F17" s="25" t="s">
        <v>355</v>
      </c>
      <c r="G17" s="355"/>
      <c r="H17" s="355"/>
      <c r="I17" s="355"/>
      <c r="J17" s="355"/>
      <c r="K17" s="37"/>
      <c r="L17" s="27"/>
      <c r="X17" s="46"/>
      <c r="Y17" s="52"/>
      <c r="Z17" s="347"/>
      <c r="AA17" s="52"/>
    </row>
    <row r="18" spans="5:29" s="14" customFormat="1" x14ac:dyDescent="0.25">
      <c r="E18" s="63"/>
      <c r="F18" s="25" t="s">
        <v>259</v>
      </c>
      <c r="G18" s="223" t="str">
        <f t="shared" ref="G18:J18" si="2">IFERROR(G17/SUM(G13,G15,G17),"")</f>
        <v/>
      </c>
      <c r="H18" s="223" t="str">
        <f t="shared" si="2"/>
        <v/>
      </c>
      <c r="I18" s="223" t="str">
        <f t="shared" si="2"/>
        <v/>
      </c>
      <c r="J18" s="223" t="str">
        <f t="shared" si="2"/>
        <v/>
      </c>
      <c r="L18" s="14" t="s">
        <v>234</v>
      </c>
      <c r="X18" s="46"/>
      <c r="Y18" s="75" t="s">
        <v>237</v>
      </c>
      <c r="Z18" s="298">
        <f>ROUNDDOWN(MIN(G10,G26,H26,I26,J26,G37,G38),2)</f>
        <v>0</v>
      </c>
      <c r="AA18" s="77" t="e" cm="1">
        <f t="array" aca="1" ref="AA18" ca="1">setChartAxis("SD_RT","Chart SD_RT3","Min","Value","Primary",Z18)</f>
        <v>#NAME?</v>
      </c>
      <c r="AB18" s="102"/>
      <c r="AC18" s="103"/>
    </row>
    <row r="19" spans="5:29" s="14" customFormat="1" x14ac:dyDescent="0.3">
      <c r="E19" s="63"/>
      <c r="F19" s="25"/>
      <c r="L19" s="73" t="s">
        <v>236</v>
      </c>
      <c r="M19" s="57"/>
      <c r="N19" s="57"/>
      <c r="O19" s="57"/>
      <c r="P19" s="57"/>
      <c r="Q19" s="57"/>
      <c r="R19" s="57"/>
      <c r="S19" s="57"/>
      <c r="T19" s="57"/>
      <c r="U19" s="57"/>
      <c r="V19" s="57"/>
      <c r="W19" s="57"/>
      <c r="X19" s="46"/>
      <c r="Y19" s="79" t="s">
        <v>238</v>
      </c>
      <c r="Z19" s="299">
        <f>ROUNDUP(MAX(G10,G26,H26,I26,J26,G37,G38),2)</f>
        <v>0</v>
      </c>
      <c r="AA19" s="81" t="e" cm="1">
        <f t="array" aca="1" ref="AA19" ca="1">setChartAxis("SD_RT","Chart SD_RT3","Max","Value","Primary",Z19)</f>
        <v>#NAME?</v>
      </c>
      <c r="AB19" s="65"/>
      <c r="AC19" s="101"/>
    </row>
    <row r="20" spans="5:29" s="14" customFormat="1" x14ac:dyDescent="0.3">
      <c r="E20" s="63"/>
      <c r="L20" s="73" t="s">
        <v>236</v>
      </c>
      <c r="M20" s="57"/>
      <c r="N20" s="57"/>
      <c r="O20" s="57"/>
      <c r="P20" s="57"/>
      <c r="Q20" s="57"/>
      <c r="R20" s="57"/>
      <c r="S20" s="57"/>
      <c r="T20" s="57"/>
      <c r="U20" s="57"/>
      <c r="V20" s="57"/>
      <c r="W20" s="57"/>
      <c r="X20" s="46"/>
      <c r="Z20" s="267"/>
    </row>
    <row r="21" spans="5:29" s="14" customFormat="1" x14ac:dyDescent="0.3">
      <c r="E21" s="63"/>
      <c r="F21" s="116" t="s">
        <v>370</v>
      </c>
      <c r="G21" s="8" t="s">
        <v>178</v>
      </c>
      <c r="H21" s="27" t="s">
        <v>347</v>
      </c>
      <c r="I21" s="27" t="s">
        <v>348</v>
      </c>
      <c r="J21" s="27" t="s">
        <v>349</v>
      </c>
      <c r="L21" s="73" t="s">
        <v>236</v>
      </c>
      <c r="M21" s="57"/>
      <c r="N21" s="57"/>
      <c r="O21" s="57"/>
      <c r="P21" s="57"/>
      <c r="Q21" s="57"/>
      <c r="R21" s="57"/>
      <c r="S21" s="57"/>
      <c r="T21" s="57"/>
      <c r="U21" s="57"/>
      <c r="V21" s="57"/>
      <c r="W21" s="57"/>
      <c r="X21" s="46"/>
      <c r="Y21" s="75" t="s">
        <v>237</v>
      </c>
      <c r="Z21" s="322">
        <f>ROUNDDOWN(MIN(F10,F26,G26,H26,F37,F38,I26),2)</f>
        <v>0</v>
      </c>
      <c r="AA21" s="77" t="e" cm="1">
        <f t="array" aca="1" ref="AA21" ca="1">setChartAxis("SD_RT","Chart SD_RT4","Min","Value","Primary",Z21)</f>
        <v>#NAME?</v>
      </c>
      <c r="AB21" s="77"/>
      <c r="AC21" s="78"/>
    </row>
    <row r="22" spans="5:29" s="14" customFormat="1" ht="14.4" x14ac:dyDescent="0.25">
      <c r="E22" s="63"/>
      <c r="F22" s="2" t="s">
        <v>222</v>
      </c>
      <c r="G22" s="258"/>
      <c r="H22" s="258"/>
      <c r="I22" s="258"/>
      <c r="J22" s="258"/>
      <c r="K22" s="29"/>
      <c r="L22" s="73" t="s">
        <v>236</v>
      </c>
      <c r="M22" s="57"/>
      <c r="N22" s="57"/>
      <c r="O22" s="57"/>
      <c r="P22" s="57"/>
      <c r="Q22" s="57"/>
      <c r="R22" s="57"/>
      <c r="S22" s="57"/>
      <c r="T22" s="57"/>
      <c r="U22" s="57"/>
      <c r="V22" s="57"/>
      <c r="W22" s="57"/>
      <c r="X22" s="46"/>
      <c r="Y22" s="79" t="s">
        <v>238</v>
      </c>
      <c r="Z22" s="323">
        <f>ROUNDUP(MAX(SUM(G13,G15,G17),SUM(H13,H15,H17),SUM(I13,I15,I17),SUM(J13,J15,J17)),2)</f>
        <v>0</v>
      </c>
      <c r="AA22" s="81" t="e" cm="1">
        <f t="array" aca="1" ref="AA22" ca="1">setChartAxis("SD_RT","Chart SD_RT4","Max","Value","Primary",Z22)</f>
        <v>#NAME?</v>
      </c>
      <c r="AB22" s="81"/>
      <c r="AC22" s="82"/>
    </row>
    <row r="23" spans="5:29" ht="14.4" x14ac:dyDescent="0.25">
      <c r="F23" s="319" t="s">
        <v>371</v>
      </c>
      <c r="G23" s="324"/>
      <c r="H23" s="324"/>
      <c r="I23" s="324"/>
      <c r="J23" s="324"/>
      <c r="K23" s="29"/>
      <c r="L23" s="73" t="s">
        <v>236</v>
      </c>
      <c r="M23" s="57"/>
      <c r="N23" s="57"/>
      <c r="O23" s="57"/>
      <c r="P23" s="57"/>
      <c r="Q23" s="57"/>
      <c r="R23" s="57"/>
      <c r="S23" s="57"/>
      <c r="T23" s="57"/>
      <c r="U23" s="57"/>
      <c r="V23" s="57"/>
      <c r="W23" s="57"/>
      <c r="X23" s="46"/>
    </row>
    <row r="24" spans="5:29" s="14" customFormat="1" ht="14.4" x14ac:dyDescent="0.25">
      <c r="E24" s="63"/>
      <c r="F24" s="2" t="s">
        <v>223</v>
      </c>
      <c r="G24" s="258"/>
      <c r="H24" s="258"/>
      <c r="I24" s="258"/>
      <c r="J24" s="258"/>
      <c r="K24" s="37"/>
      <c r="L24" s="73" t="s">
        <v>236</v>
      </c>
      <c r="M24" s="57"/>
      <c r="N24" s="57"/>
      <c r="O24" s="57"/>
      <c r="P24" s="57"/>
      <c r="Q24" s="57"/>
      <c r="R24" s="57"/>
      <c r="S24" s="57"/>
      <c r="T24" s="57"/>
      <c r="U24" s="57"/>
      <c r="V24" s="57"/>
      <c r="W24" s="57"/>
      <c r="X24" s="46"/>
    </row>
    <row r="25" spans="5:29" s="14" customFormat="1" x14ac:dyDescent="0.3">
      <c r="E25" s="63"/>
      <c r="F25" s="319" t="s">
        <v>371</v>
      </c>
      <c r="G25" s="324"/>
      <c r="H25" s="324"/>
      <c r="I25" s="324"/>
      <c r="J25" s="324"/>
      <c r="L25" s="73" t="s">
        <v>236</v>
      </c>
      <c r="M25" s="57"/>
      <c r="N25" s="57"/>
      <c r="O25" s="57"/>
      <c r="P25" s="57"/>
      <c r="Q25" s="57"/>
      <c r="R25" s="57"/>
      <c r="S25" s="57"/>
      <c r="T25" s="57"/>
      <c r="U25" s="57"/>
      <c r="V25" s="57"/>
      <c r="W25" s="57"/>
      <c r="X25" s="46"/>
    </row>
    <row r="26" spans="5:29" s="14" customFormat="1" ht="14.4" x14ac:dyDescent="0.25">
      <c r="E26" s="63"/>
      <c r="F26" s="2" t="s">
        <v>258</v>
      </c>
      <c r="G26" s="258"/>
      <c r="H26" s="258"/>
      <c r="I26" s="258"/>
      <c r="J26" s="258"/>
      <c r="K26" s="37"/>
      <c r="L26" s="73" t="s">
        <v>236</v>
      </c>
      <c r="M26" s="57"/>
      <c r="N26" s="57"/>
      <c r="O26" s="57"/>
      <c r="P26" s="57"/>
      <c r="Q26" s="57"/>
      <c r="R26" s="57"/>
      <c r="S26" s="57"/>
      <c r="T26" s="57"/>
      <c r="U26" s="57"/>
      <c r="V26" s="57"/>
      <c r="W26" s="57"/>
      <c r="X26" s="46"/>
    </row>
    <row r="27" spans="5:29" s="14" customFormat="1" x14ac:dyDescent="0.3">
      <c r="E27" s="63"/>
      <c r="F27" s="319" t="s">
        <v>371</v>
      </c>
      <c r="G27" s="345">
        <f>Z19</f>
        <v>0</v>
      </c>
      <c r="H27" s="345">
        <f>Z19</f>
        <v>0</v>
      </c>
      <c r="I27" s="345">
        <f>Z19</f>
        <v>0</v>
      </c>
      <c r="J27" s="345">
        <f>Z19</f>
        <v>0</v>
      </c>
      <c r="L27" s="73" t="s">
        <v>236</v>
      </c>
      <c r="M27" s="57"/>
      <c r="N27" s="57"/>
      <c r="O27" s="57"/>
      <c r="P27" s="57"/>
      <c r="Q27" s="57"/>
      <c r="R27" s="57"/>
      <c r="S27" s="57"/>
      <c r="T27" s="57"/>
      <c r="U27" s="57"/>
      <c r="V27" s="57"/>
      <c r="W27" s="57"/>
      <c r="X27" s="46"/>
    </row>
    <row r="28" spans="5:29" s="14" customFormat="1" x14ac:dyDescent="0.25">
      <c r="E28" s="63"/>
      <c r="M28" s="1"/>
    </row>
    <row r="29" spans="5:29" ht="14.25" customHeight="1" x14ac:dyDescent="0.25">
      <c r="F29" s="14"/>
      <c r="G29" s="14"/>
      <c r="H29" s="14"/>
      <c r="I29" s="14"/>
      <c r="J29" s="14"/>
      <c r="K29" s="14"/>
      <c r="L29" s="14"/>
      <c r="M29" s="14"/>
      <c r="O29" s="14"/>
      <c r="P29" s="379" t="s">
        <v>443</v>
      </c>
      <c r="Q29" s="379"/>
      <c r="R29" s="379"/>
      <c r="S29" s="379"/>
      <c r="T29" s="379"/>
      <c r="U29" s="14"/>
      <c r="V29" s="14"/>
      <c r="W29" s="14"/>
      <c r="X29" s="14"/>
    </row>
    <row r="30" spans="5:29" x14ac:dyDescent="0.25">
      <c r="F30" s="14"/>
      <c r="G30" s="14"/>
      <c r="H30" s="14"/>
      <c r="I30" s="14"/>
      <c r="J30" s="14"/>
      <c r="K30" s="14"/>
      <c r="L30" s="14"/>
      <c r="M30" s="14"/>
      <c r="O30" s="14"/>
      <c r="P30" s="379"/>
      <c r="Q30" s="379"/>
      <c r="R30" s="379"/>
      <c r="S30" s="379"/>
      <c r="T30" s="379"/>
      <c r="U30" s="14"/>
      <c r="V30" s="14"/>
      <c r="W30" s="14"/>
      <c r="X30" s="14"/>
    </row>
    <row r="31" spans="5:29" x14ac:dyDescent="0.25">
      <c r="F31" s="25" t="s">
        <v>188</v>
      </c>
      <c r="G31" s="280" t="str">
        <f>IFERROR(IF(G6&lt;6.5%,G6*0.75,G6*0.85),"")</f>
        <v/>
      </c>
      <c r="H31" s="14" t="s">
        <v>350</v>
      </c>
      <c r="I31" s="14"/>
      <c r="J31" s="14"/>
      <c r="K31" s="14"/>
      <c r="L31" s="14"/>
      <c r="M31" s="14"/>
      <c r="O31" s="14"/>
      <c r="P31" s="379"/>
      <c r="Q31" s="379"/>
      <c r="R31" s="379"/>
      <c r="S31" s="379"/>
      <c r="T31" s="379"/>
      <c r="U31" s="14"/>
      <c r="V31" s="14"/>
      <c r="W31" s="14"/>
      <c r="X31" s="14"/>
    </row>
    <row r="32" spans="5:29" x14ac:dyDescent="0.25">
      <c r="F32" s="25" t="s">
        <v>188</v>
      </c>
      <c r="G32" s="280" t="str">
        <f>IFERROR(IF(G6&lt;6.5%,G6*1.25,G6*1.15),"")</f>
        <v/>
      </c>
      <c r="H32" s="14" t="s">
        <v>351</v>
      </c>
      <c r="O32" s="14"/>
      <c r="P32" s="379"/>
      <c r="Q32" s="379"/>
      <c r="R32" s="379"/>
      <c r="S32" s="379"/>
      <c r="T32" s="379"/>
      <c r="U32" s="14"/>
      <c r="V32" s="14"/>
      <c r="W32" s="14"/>
      <c r="X32" s="14"/>
    </row>
    <row r="33" spans="6:24" x14ac:dyDescent="0.25">
      <c r="F33" s="14"/>
      <c r="G33" s="14"/>
      <c r="H33" s="14"/>
      <c r="I33" s="14"/>
      <c r="J33" s="14"/>
      <c r="K33" s="14"/>
      <c r="L33" s="14"/>
      <c r="P33" s="379"/>
      <c r="Q33" s="379"/>
      <c r="R33" s="379"/>
      <c r="S33" s="379"/>
      <c r="T33" s="379"/>
      <c r="U33" s="14"/>
      <c r="V33" s="14"/>
      <c r="W33" s="14"/>
      <c r="X33" s="14"/>
    </row>
    <row r="34" spans="6:24" x14ac:dyDescent="0.25">
      <c r="F34" s="25" t="s">
        <v>181</v>
      </c>
      <c r="G34" s="280">
        <f>IFERROR(IF(G8&lt;6.5%,G8*0.75,G8*0.85),"")</f>
        <v>0</v>
      </c>
      <c r="H34" s="14" t="s">
        <v>350</v>
      </c>
      <c r="M34" s="14"/>
      <c r="P34" s="379"/>
      <c r="Q34" s="379"/>
      <c r="R34" s="379"/>
      <c r="S34" s="379"/>
      <c r="T34" s="379"/>
      <c r="U34" s="14"/>
      <c r="V34" s="14"/>
      <c r="W34" s="14"/>
      <c r="X34" s="14"/>
    </row>
    <row r="35" spans="6:24" x14ac:dyDescent="0.25">
      <c r="F35" s="25" t="s">
        <v>181</v>
      </c>
      <c r="G35" s="280">
        <f>IFERROR(IF(G8&lt;6.5%,G8*1.25,G8*1.15),"")</f>
        <v>0</v>
      </c>
      <c r="H35" s="14" t="s">
        <v>351</v>
      </c>
      <c r="U35" s="14"/>
      <c r="V35" s="14"/>
      <c r="W35" s="14"/>
      <c r="X35" s="14"/>
    </row>
    <row r="36" spans="6:24" x14ac:dyDescent="0.25">
      <c r="F36" s="14"/>
      <c r="G36" s="14"/>
      <c r="H36" s="14"/>
      <c r="I36" s="14"/>
      <c r="J36" s="14"/>
      <c r="K36" s="14"/>
      <c r="L36" s="14"/>
      <c r="P36" s="38" t="s">
        <v>202</v>
      </c>
      <c r="Q36" s="38"/>
      <c r="R36" s="38"/>
      <c r="S36" s="38"/>
      <c r="T36" s="38"/>
      <c r="U36" s="38"/>
      <c r="V36" s="38"/>
      <c r="W36" s="38"/>
      <c r="X36" s="344"/>
    </row>
    <row r="37" spans="6:24" x14ac:dyDescent="0.25">
      <c r="F37" s="25" t="s">
        <v>260</v>
      </c>
      <c r="G37" s="280">
        <f>IFERROR(IF(G10&lt;6.5%,G10*0.75,G10*0.85),"")</f>
        <v>0</v>
      </c>
      <c r="H37" s="14" t="s">
        <v>350</v>
      </c>
      <c r="I37" s="14"/>
      <c r="J37" s="14"/>
      <c r="M37" s="14"/>
      <c r="P37" s="1" t="s">
        <v>352</v>
      </c>
      <c r="Q37" s="14"/>
      <c r="R37" s="14"/>
      <c r="S37" s="14"/>
      <c r="T37" s="14"/>
      <c r="U37" s="14"/>
      <c r="V37" s="14"/>
      <c r="W37" s="14"/>
      <c r="X37" s="14"/>
    </row>
    <row r="38" spans="6:24" x14ac:dyDescent="0.25">
      <c r="F38" s="25" t="s">
        <v>261</v>
      </c>
      <c r="G38" s="280">
        <f>IFERROR(IF(G10&lt;6.5%,G10*1.25,G10*1.15),"")</f>
        <v>0</v>
      </c>
      <c r="H38" s="14" t="s">
        <v>351</v>
      </c>
      <c r="M38" s="14"/>
    </row>
  </sheetData>
  <mergeCells count="4">
    <mergeCell ref="B2:C2"/>
    <mergeCell ref="B3:C3"/>
    <mergeCell ref="B4:C4"/>
    <mergeCell ref="P29:T34"/>
  </mergeCells>
  <hyperlinks>
    <hyperlink ref="B4" location="'SOE DETAILS'!A1" display="SOE DETAILS" xr:uid="{E039ABEF-68EA-4350-916F-678260564049}"/>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B1E0-8863-4594-BB84-EE902356619B}">
  <sheetPr codeName="Sheet12">
    <tabColor theme="5" tint="-0.249977111117893"/>
  </sheetPr>
  <dimension ref="B2:AB32"/>
  <sheetViews>
    <sheetView showGridLines="0" zoomScale="85" zoomScaleNormal="85" workbookViewId="0">
      <selection activeCell="O30" sqref="O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56.77734375" style="1" customWidth="1"/>
    <col min="7" max="15" width="9.21875" style="1"/>
    <col min="16" max="19" width="10.77734375" style="1" customWidth="1"/>
    <col min="20" max="20" width="11.21875" style="1" customWidth="1"/>
    <col min="21" max="25" width="9.21875" style="1"/>
    <col min="26" max="26" width="9.44140625" style="1" bestFit="1" customWidth="1"/>
    <col min="27" max="16384" width="9.21875" style="1"/>
  </cols>
  <sheetData>
    <row r="2" spans="2:28" x14ac:dyDescent="0.25">
      <c r="B2" s="374" t="s">
        <v>191</v>
      </c>
      <c r="C2" s="374"/>
      <c r="F2" s="21" t="s">
        <v>193</v>
      </c>
      <c r="G2" s="22"/>
      <c r="H2" s="22"/>
      <c r="I2" s="22"/>
      <c r="J2" s="22"/>
      <c r="K2" s="22"/>
      <c r="L2" s="22"/>
      <c r="M2" s="22"/>
      <c r="N2" s="22"/>
      <c r="O2" s="22"/>
      <c r="P2" s="22"/>
      <c r="Q2" s="22"/>
      <c r="R2" s="22"/>
      <c r="S2" s="22"/>
      <c r="T2" s="22"/>
      <c r="U2" s="22"/>
      <c r="V2" s="22"/>
      <c r="W2" s="22"/>
      <c r="X2" s="22"/>
      <c r="Y2" s="22"/>
      <c r="Z2" s="22"/>
      <c r="AA2" s="22"/>
    </row>
    <row r="3" spans="2:28" x14ac:dyDescent="0.25">
      <c r="B3" s="375" t="s">
        <v>192</v>
      </c>
      <c r="C3" s="375"/>
      <c r="F3" s="343" t="s">
        <v>369</v>
      </c>
      <c r="G3" s="20"/>
      <c r="H3" s="20"/>
      <c r="I3" s="20"/>
      <c r="J3" s="20"/>
      <c r="K3" s="20"/>
      <c r="L3" s="20"/>
      <c r="M3" s="20"/>
      <c r="N3" s="20"/>
      <c r="O3" s="20"/>
      <c r="P3" s="20"/>
      <c r="Q3" s="20"/>
      <c r="R3" s="20"/>
      <c r="S3" s="20"/>
      <c r="T3" s="20"/>
      <c r="U3" s="20"/>
      <c r="V3" s="20"/>
      <c r="W3" s="20"/>
      <c r="X3" s="20"/>
      <c r="Y3" s="20"/>
      <c r="Z3" s="20"/>
      <c r="AA3" s="20"/>
    </row>
    <row r="4" spans="2:28" ht="20.399999999999999" x14ac:dyDescent="0.25">
      <c r="B4" s="398" t="s">
        <v>189</v>
      </c>
      <c r="C4" s="398"/>
      <c r="F4" s="23" t="s">
        <v>185</v>
      </c>
      <c r="G4" s="24"/>
      <c r="H4" s="24"/>
      <c r="I4" s="24"/>
      <c r="J4" s="24"/>
      <c r="K4" s="24"/>
      <c r="L4" s="24"/>
      <c r="M4" s="24"/>
      <c r="N4" s="24"/>
      <c r="O4" s="24"/>
      <c r="P4" s="24"/>
      <c r="Q4" s="24"/>
      <c r="R4" s="24"/>
      <c r="S4" s="24"/>
      <c r="T4" s="24"/>
      <c r="U4" s="24"/>
      <c r="V4" s="24"/>
      <c r="W4" s="24"/>
      <c r="X4" s="24"/>
      <c r="Y4" s="24"/>
      <c r="Z4" s="24"/>
      <c r="AA4" s="24"/>
    </row>
    <row r="6" spans="2:28" ht="14.25" customHeight="1" x14ac:dyDescent="0.25">
      <c r="F6" s="25"/>
      <c r="G6" s="45" t="str">
        <f>'FINANŠU MĒRĶU NOTEIKŠANA'!H194</f>
        <v/>
      </c>
      <c r="H6" s="44" t="s">
        <v>455</v>
      </c>
      <c r="P6" s="379" t="s">
        <v>443</v>
      </c>
      <c r="Q6" s="379"/>
      <c r="R6" s="379"/>
      <c r="S6" s="379"/>
      <c r="T6" s="379"/>
    </row>
    <row r="7" spans="2:28" x14ac:dyDescent="0.25">
      <c r="F7" s="25"/>
      <c r="P7" s="379"/>
      <c r="Q7" s="379"/>
      <c r="R7" s="379"/>
      <c r="S7" s="379"/>
      <c r="T7" s="379"/>
    </row>
    <row r="8" spans="2:28" s="14" customFormat="1" x14ac:dyDescent="0.3">
      <c r="E8" s="63"/>
      <c r="F8" s="116" t="s">
        <v>370</v>
      </c>
      <c r="G8" s="8" t="s">
        <v>178</v>
      </c>
      <c r="H8" s="27" t="s">
        <v>347</v>
      </c>
      <c r="I8" s="27" t="s">
        <v>348</v>
      </c>
      <c r="J8" s="27" t="s">
        <v>349</v>
      </c>
      <c r="P8" s="379"/>
      <c r="Q8" s="379"/>
      <c r="R8" s="379"/>
      <c r="S8" s="379"/>
      <c r="T8" s="379"/>
    </row>
    <row r="9" spans="2:28" s="14" customFormat="1" x14ac:dyDescent="0.25">
      <c r="E9" s="63"/>
      <c r="F9" s="25" t="s">
        <v>177</v>
      </c>
      <c r="G9" s="51"/>
      <c r="H9" s="51"/>
      <c r="I9" s="51"/>
      <c r="J9" s="51"/>
      <c r="P9" s="379"/>
      <c r="Q9" s="379"/>
      <c r="R9" s="379"/>
      <c r="S9" s="379"/>
      <c r="T9" s="379"/>
      <c r="X9" s="52" t="s">
        <v>239</v>
      </c>
    </row>
    <row r="10" spans="2:28" s="14" customFormat="1" x14ac:dyDescent="0.3">
      <c r="E10" s="63"/>
      <c r="F10" s="25"/>
      <c r="P10" s="379"/>
      <c r="Q10" s="379"/>
      <c r="R10" s="379"/>
      <c r="S10" s="379"/>
      <c r="T10" s="379"/>
      <c r="X10" s="75" t="s">
        <v>237</v>
      </c>
      <c r="Y10" s="83">
        <f>ROUNDDOWN(MIN(G6,G9,G11,G13,H9,I9,J9),2)</f>
        <v>0</v>
      </c>
      <c r="Z10" s="77" t="e" cm="1">
        <f t="array" aca="1" ref="Z10" ca="1">setChartAxis("SD_DP","Chart SD_DP1","Min","Value","Primary",Y10)</f>
        <v>#NAME?</v>
      </c>
      <c r="AA10" s="77"/>
      <c r="AB10" s="78"/>
    </row>
    <row r="11" spans="2:28" s="14" customFormat="1" x14ac:dyDescent="0.3">
      <c r="E11" s="63"/>
      <c r="F11" s="25"/>
      <c r="G11" s="45" t="str">
        <f>IFERROR(G6*0.85,"")</f>
        <v/>
      </c>
      <c r="H11" s="14" t="s">
        <v>350</v>
      </c>
      <c r="P11" s="379"/>
      <c r="Q11" s="379"/>
      <c r="R11" s="379"/>
      <c r="S11" s="379"/>
      <c r="T11" s="379"/>
      <c r="X11" s="79" t="s">
        <v>238</v>
      </c>
      <c r="Y11" s="84">
        <f>ROUNDUP(MAX(G6,G9,H9,I9,G11,G13,J9),2)</f>
        <v>0</v>
      </c>
      <c r="Z11" s="81" t="e" cm="1">
        <f t="array" aca="1" ref="Z11" ca="1">setChartAxis("SD_DP","Chart SD_DP1","Max","Value","Primary",Y11)</f>
        <v>#NAME?</v>
      </c>
      <c r="AA11" s="81"/>
      <c r="AB11" s="82"/>
    </row>
    <row r="12" spans="2:28" s="14" customFormat="1" x14ac:dyDescent="0.25">
      <c r="E12" s="63"/>
      <c r="F12" s="25"/>
      <c r="P12" s="38" t="s">
        <v>202</v>
      </c>
      <c r="Q12" s="38"/>
      <c r="R12" s="38"/>
      <c r="S12" s="38"/>
      <c r="T12" s="38"/>
      <c r="U12" s="38"/>
      <c r="V12" s="38"/>
      <c r="W12" s="38"/>
    </row>
    <row r="13" spans="2:28" x14ac:dyDescent="0.25">
      <c r="F13" s="2"/>
      <c r="G13" s="45" t="str">
        <f>IFERROR(G6*1.15,"")</f>
        <v/>
      </c>
      <c r="H13" s="14" t="s">
        <v>351</v>
      </c>
      <c r="P13" s="1" t="s">
        <v>352</v>
      </c>
      <c r="Q13" s="14"/>
      <c r="R13" s="14"/>
      <c r="S13" s="14"/>
      <c r="T13" s="14"/>
      <c r="U13" s="14"/>
      <c r="V13" s="14"/>
      <c r="W13" s="14"/>
    </row>
    <row r="14" spans="2:28" s="14" customFormat="1" x14ac:dyDescent="0.25">
      <c r="E14" s="63"/>
      <c r="F14" s="2"/>
    </row>
    <row r="15" spans="2:28" s="14" customFormat="1" x14ac:dyDescent="0.3">
      <c r="E15" s="63"/>
      <c r="F15" s="319" t="s">
        <v>371</v>
      </c>
      <c r="G15" s="328">
        <f>ROUNDUP(MAX(G6,G9,H9,I9,J9,G11,G13),2)</f>
        <v>0</v>
      </c>
      <c r="H15" s="320">
        <f>ROUNDUP(MAX(G6,G9,H9,I9,J9,G11,G13),2)</f>
        <v>0</v>
      </c>
      <c r="I15" s="320">
        <f>ROUNDUP(MAX(G6,G9,H9,I9,J9,G11,G13),2)</f>
        <v>0</v>
      </c>
      <c r="J15" s="320">
        <f>ROUNDUP(MAX(G6,G9,H9,I9,J9,G11,G13),2)</f>
        <v>0</v>
      </c>
      <c r="K15" s="14" t="s">
        <v>233</v>
      </c>
    </row>
    <row r="16" spans="2:28" s="14" customFormat="1" x14ac:dyDescent="0.3">
      <c r="E16" s="63"/>
      <c r="K16" s="73" t="s">
        <v>236</v>
      </c>
      <c r="L16" s="57"/>
      <c r="M16" s="57"/>
      <c r="N16" s="57"/>
      <c r="O16" s="57"/>
      <c r="P16" s="57"/>
      <c r="Q16" s="57"/>
      <c r="R16" s="57"/>
      <c r="S16" s="57"/>
      <c r="T16" s="57"/>
      <c r="U16" s="57"/>
      <c r="V16" s="57"/>
      <c r="W16" s="57"/>
    </row>
    <row r="17" spans="5:23" s="14" customFormat="1" x14ac:dyDescent="0.3">
      <c r="E17" s="63"/>
      <c r="K17" s="73" t="s">
        <v>236</v>
      </c>
      <c r="L17" s="57"/>
      <c r="M17" s="57"/>
      <c r="N17" s="57"/>
      <c r="O17" s="57"/>
      <c r="P17" s="57"/>
      <c r="Q17" s="57"/>
      <c r="R17" s="57"/>
      <c r="S17" s="57"/>
      <c r="T17" s="57"/>
      <c r="U17" s="57"/>
      <c r="V17" s="57"/>
      <c r="W17" s="57"/>
    </row>
    <row r="18" spans="5:23" s="14" customFormat="1" x14ac:dyDescent="0.3">
      <c r="E18" s="63"/>
      <c r="K18" s="73" t="s">
        <v>236</v>
      </c>
      <c r="L18" s="57"/>
      <c r="M18" s="57"/>
      <c r="N18" s="57"/>
      <c r="O18" s="57"/>
      <c r="P18" s="57"/>
      <c r="Q18" s="57"/>
      <c r="R18" s="57"/>
      <c r="S18" s="57"/>
      <c r="T18" s="57"/>
      <c r="U18" s="57"/>
      <c r="V18" s="57"/>
      <c r="W18" s="57"/>
    </row>
    <row r="19" spans="5:23" x14ac:dyDescent="0.25">
      <c r="F19" s="14"/>
      <c r="K19" s="73" t="s">
        <v>236</v>
      </c>
      <c r="L19" s="57"/>
      <c r="M19" s="57"/>
      <c r="N19" s="57"/>
      <c r="O19" s="57"/>
      <c r="P19" s="57"/>
      <c r="Q19" s="57"/>
      <c r="R19" s="57"/>
      <c r="S19" s="57"/>
      <c r="T19" s="57"/>
      <c r="U19" s="57"/>
      <c r="V19" s="57"/>
      <c r="W19" s="57"/>
    </row>
    <row r="20" spans="5:23" s="14" customFormat="1" x14ac:dyDescent="0.3">
      <c r="E20" s="63"/>
      <c r="K20" s="73" t="s">
        <v>236</v>
      </c>
      <c r="L20" s="57"/>
      <c r="M20" s="57"/>
      <c r="N20" s="57"/>
      <c r="O20" s="57"/>
      <c r="P20" s="57"/>
      <c r="Q20" s="57"/>
      <c r="R20" s="57"/>
      <c r="S20" s="57"/>
      <c r="T20" s="57"/>
      <c r="U20" s="57"/>
      <c r="V20" s="57"/>
      <c r="W20" s="57"/>
    </row>
    <row r="21" spans="5:23" s="14" customFormat="1" x14ac:dyDescent="0.25">
      <c r="E21" s="63"/>
      <c r="F21" s="1"/>
      <c r="K21" s="73" t="s">
        <v>236</v>
      </c>
      <c r="L21" s="57"/>
      <c r="M21" s="57"/>
      <c r="N21" s="57"/>
      <c r="O21" s="57"/>
      <c r="P21" s="57"/>
      <c r="Q21" s="57"/>
      <c r="R21" s="57"/>
      <c r="S21" s="57"/>
      <c r="T21" s="57"/>
      <c r="U21" s="57"/>
      <c r="V21" s="57"/>
      <c r="W21" s="57"/>
    </row>
    <row r="22" spans="5:23" s="14" customFormat="1" x14ac:dyDescent="0.25">
      <c r="E22" s="63"/>
      <c r="F22" s="1"/>
      <c r="K22" s="73" t="s">
        <v>236</v>
      </c>
      <c r="L22" s="57"/>
      <c r="M22" s="57"/>
      <c r="N22" s="57"/>
      <c r="O22" s="57"/>
      <c r="P22" s="57"/>
      <c r="Q22" s="57"/>
      <c r="R22" s="57"/>
      <c r="S22" s="57"/>
      <c r="T22" s="57"/>
      <c r="U22" s="57"/>
      <c r="V22" s="57"/>
      <c r="W22" s="57"/>
    </row>
    <row r="23" spans="5:23" s="14" customFormat="1" x14ac:dyDescent="0.25">
      <c r="E23" s="63"/>
      <c r="F23" s="1"/>
    </row>
    <row r="24" spans="5:23" s="14" customFormat="1" x14ac:dyDescent="0.25">
      <c r="E24" s="63"/>
      <c r="F24" s="1"/>
      <c r="K24" s="14" t="s">
        <v>234</v>
      </c>
    </row>
    <row r="25" spans="5:23" x14ac:dyDescent="0.25">
      <c r="K25" s="73" t="s">
        <v>236</v>
      </c>
      <c r="L25" s="57"/>
      <c r="M25" s="57"/>
      <c r="N25" s="57"/>
      <c r="O25" s="57"/>
      <c r="P25" s="57"/>
      <c r="Q25" s="57"/>
      <c r="R25" s="57"/>
      <c r="S25" s="57"/>
      <c r="T25" s="57"/>
      <c r="U25" s="57"/>
      <c r="V25" s="57"/>
      <c r="W25" s="57"/>
    </row>
    <row r="26" spans="5:23" x14ac:dyDescent="0.25">
      <c r="K26" s="73" t="s">
        <v>236</v>
      </c>
      <c r="L26" s="57"/>
      <c r="M26" s="57"/>
      <c r="N26" s="57"/>
      <c r="O26" s="57"/>
      <c r="P26" s="57"/>
      <c r="Q26" s="57"/>
      <c r="R26" s="57"/>
      <c r="S26" s="57"/>
      <c r="T26" s="57"/>
      <c r="U26" s="57"/>
      <c r="V26" s="57"/>
      <c r="W26" s="57"/>
    </row>
    <row r="27" spans="5:23" x14ac:dyDescent="0.25">
      <c r="K27" s="73" t="s">
        <v>236</v>
      </c>
      <c r="L27" s="57"/>
      <c r="M27" s="57"/>
      <c r="N27" s="57"/>
      <c r="O27" s="57"/>
      <c r="P27" s="57"/>
      <c r="Q27" s="57"/>
      <c r="R27" s="57"/>
      <c r="S27" s="57"/>
      <c r="T27" s="57"/>
      <c r="U27" s="57"/>
      <c r="V27" s="57"/>
      <c r="W27" s="57"/>
    </row>
    <row r="28" spans="5:23" x14ac:dyDescent="0.25">
      <c r="K28" s="73" t="s">
        <v>236</v>
      </c>
      <c r="L28" s="57"/>
      <c r="M28" s="57"/>
      <c r="N28" s="57"/>
      <c r="O28" s="57"/>
      <c r="P28" s="57"/>
      <c r="Q28" s="57"/>
      <c r="R28" s="57"/>
      <c r="S28" s="57"/>
      <c r="T28" s="57"/>
      <c r="U28" s="57"/>
      <c r="V28" s="57"/>
      <c r="W28" s="57"/>
    </row>
    <row r="29" spans="5:23" x14ac:dyDescent="0.25">
      <c r="K29" s="73" t="s">
        <v>236</v>
      </c>
      <c r="L29" s="57"/>
      <c r="M29" s="57"/>
      <c r="N29" s="57"/>
      <c r="O29" s="57"/>
      <c r="P29" s="57"/>
      <c r="Q29" s="57"/>
      <c r="R29" s="57"/>
      <c r="S29" s="57"/>
      <c r="T29" s="57"/>
      <c r="U29" s="57"/>
      <c r="V29" s="57"/>
      <c r="W29" s="57"/>
    </row>
    <row r="30" spans="5:23" x14ac:dyDescent="0.25">
      <c r="K30" s="73" t="s">
        <v>236</v>
      </c>
      <c r="L30" s="57"/>
      <c r="M30" s="57"/>
      <c r="N30" s="57"/>
      <c r="O30" s="57"/>
      <c r="P30" s="57"/>
      <c r="Q30" s="57"/>
      <c r="R30" s="57"/>
      <c r="S30" s="57"/>
      <c r="T30" s="57"/>
      <c r="U30" s="57"/>
      <c r="V30" s="57"/>
      <c r="W30" s="57"/>
    </row>
    <row r="31" spans="5:23" x14ac:dyDescent="0.25">
      <c r="K31" s="73" t="s">
        <v>236</v>
      </c>
      <c r="L31" s="57"/>
      <c r="M31" s="57"/>
      <c r="N31" s="57"/>
      <c r="O31" s="57"/>
      <c r="P31" s="57"/>
      <c r="Q31" s="57"/>
      <c r="R31" s="57"/>
      <c r="S31" s="57"/>
      <c r="T31" s="57"/>
      <c r="U31" s="57"/>
      <c r="V31" s="57"/>
      <c r="W31" s="57"/>
    </row>
    <row r="32" spans="5:23" x14ac:dyDescent="0.25">
      <c r="K32" s="14"/>
      <c r="L32" s="14"/>
      <c r="M32" s="14"/>
      <c r="N32" s="14"/>
      <c r="O32" s="14"/>
      <c r="P32" s="14"/>
      <c r="Q32" s="14"/>
      <c r="R32" s="14"/>
    </row>
  </sheetData>
  <mergeCells count="4">
    <mergeCell ref="B2:C2"/>
    <mergeCell ref="B3:C3"/>
    <mergeCell ref="B4:C4"/>
    <mergeCell ref="P6:T11"/>
  </mergeCells>
  <hyperlinks>
    <hyperlink ref="B4" location="'SOE DETAILS'!A1" display="SOE DETAILS" xr:uid="{13155BF0-7838-45AF-ABA8-B819332E1688}"/>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5A4E0-015B-40F5-87D0-CED7D6000B6D}">
  <sheetPr codeName="Sheet13">
    <tabColor theme="5" tint="-0.249977111117893"/>
  </sheetPr>
  <dimension ref="B2:AD132"/>
  <sheetViews>
    <sheetView showGridLines="0" zoomScale="85" zoomScaleNormal="85" workbookViewId="0">
      <selection activeCell="O30" sqref="O3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7" width="9.44140625" style="1" customWidth="1"/>
    <col min="8" max="9" width="9.21875" style="1"/>
    <col min="10" max="10" width="1.21875" style="1" customWidth="1"/>
    <col min="11" max="23" width="12.5546875" style="1" customWidth="1"/>
    <col min="24" max="24" width="1.21875" style="1" customWidth="1"/>
    <col min="25" max="16384" width="9.21875" style="1"/>
  </cols>
  <sheetData>
    <row r="2" spans="2:30" x14ac:dyDescent="0.25">
      <c r="B2" s="374" t="s">
        <v>191</v>
      </c>
      <c r="C2" s="374"/>
      <c r="F2" s="21" t="s">
        <v>180</v>
      </c>
      <c r="G2" s="21"/>
      <c r="H2" s="21"/>
      <c r="I2" s="21"/>
      <c r="J2" s="21"/>
      <c r="K2" s="21"/>
      <c r="L2" s="21"/>
      <c r="M2" s="21"/>
      <c r="N2" s="21"/>
      <c r="O2" s="21"/>
      <c r="P2" s="21"/>
      <c r="Q2" s="21"/>
      <c r="R2" s="21"/>
      <c r="S2" s="21"/>
      <c r="T2" s="21"/>
      <c r="U2" s="21"/>
      <c r="V2" s="21"/>
      <c r="W2" s="21"/>
      <c r="X2" s="21"/>
      <c r="Y2" s="21"/>
    </row>
    <row r="3" spans="2:30" x14ac:dyDescent="0.25">
      <c r="B3" s="375" t="s">
        <v>192</v>
      </c>
      <c r="C3" s="375"/>
      <c r="F3" s="19" t="s">
        <v>369</v>
      </c>
      <c r="G3" s="19"/>
      <c r="H3" s="19"/>
      <c r="I3" s="19"/>
      <c r="J3" s="19"/>
      <c r="K3" s="19"/>
      <c r="L3" s="19"/>
      <c r="M3" s="19"/>
      <c r="N3" s="19"/>
      <c r="O3" s="19"/>
      <c r="P3" s="19"/>
      <c r="Q3" s="19"/>
      <c r="R3" s="19"/>
      <c r="S3" s="19"/>
      <c r="T3" s="19"/>
      <c r="U3" s="19"/>
      <c r="V3" s="19"/>
      <c r="W3" s="19"/>
      <c r="X3" s="19"/>
      <c r="Y3" s="19"/>
    </row>
    <row r="4" spans="2:30" ht="20.399999999999999" x14ac:dyDescent="0.25">
      <c r="B4" s="398" t="s">
        <v>189</v>
      </c>
      <c r="C4" s="398"/>
      <c r="F4" s="23" t="s">
        <v>180</v>
      </c>
      <c r="G4" s="23"/>
      <c r="H4" s="23"/>
      <c r="I4" s="23"/>
      <c r="J4" s="23"/>
      <c r="K4" s="23"/>
      <c r="L4" s="23"/>
      <c r="M4" s="23"/>
      <c r="N4" s="23"/>
      <c r="O4" s="23"/>
      <c r="P4" s="23"/>
      <c r="Q4" s="23"/>
      <c r="R4" s="23"/>
      <c r="S4" s="23"/>
      <c r="T4" s="23"/>
      <c r="U4" s="23"/>
      <c r="V4" s="23"/>
      <c r="W4" s="23"/>
      <c r="X4" s="23"/>
      <c r="Y4" s="23"/>
    </row>
    <row r="6" spans="2:30" x14ac:dyDescent="0.25">
      <c r="F6" s="312" t="s">
        <v>179</v>
      </c>
      <c r="G6" s="313"/>
      <c r="H6" s="313"/>
      <c r="I6" s="313"/>
      <c r="J6" s="313"/>
      <c r="K6" s="314"/>
      <c r="L6" s="314"/>
      <c r="M6" s="314"/>
      <c r="N6" s="314"/>
      <c r="O6" s="314"/>
      <c r="P6" s="348" t="s">
        <v>439</v>
      </c>
      <c r="Q6" s="314"/>
      <c r="R6" s="314"/>
      <c r="S6" s="314"/>
      <c r="T6" s="314"/>
      <c r="U6" s="314"/>
      <c r="V6" s="313"/>
      <c r="W6" s="313"/>
      <c r="X6" s="313"/>
      <c r="Y6" s="313"/>
      <c r="AA6" s="52" t="s">
        <v>239</v>
      </c>
    </row>
    <row r="7" spans="2:30" x14ac:dyDescent="0.25">
      <c r="AA7" s="85">
        <f>SD_CS!X10</f>
        <v>0</v>
      </c>
      <c r="AB7" s="86" t="e" cm="1">
        <f t="array" aca="1" ref="AB7" ca="1">setChartAxis("SD_Summary","Chart SD_CS1","Min","Value","Primary",AA7)</f>
        <v>#NAME?</v>
      </c>
      <c r="AC7" s="86"/>
      <c r="AD7" s="87"/>
    </row>
    <row r="8" spans="2:30" s="14" customFormat="1" x14ac:dyDescent="0.3">
      <c r="E8" s="63"/>
      <c r="AA8" s="88">
        <f>SD_CS!X11</f>
        <v>0</v>
      </c>
      <c r="AB8" s="89" t="e" cm="1">
        <f t="array" aca="1" ref="AB8" ca="1">setChartAxis("SD_Summary","Chart SD_CS1","Max","Value","Primary",AA8)</f>
        <v>#NAME?</v>
      </c>
      <c r="AC8" s="89"/>
      <c r="AD8" s="90"/>
    </row>
    <row r="9" spans="2:30" s="14" customFormat="1" x14ac:dyDescent="0.3">
      <c r="E9" s="63"/>
      <c r="AA9" s="91"/>
      <c r="AB9" s="89"/>
      <c r="AC9" s="89"/>
      <c r="AD9" s="90"/>
    </row>
    <row r="10" spans="2:30" s="14" customFormat="1" x14ac:dyDescent="0.25">
      <c r="E10" s="63"/>
      <c r="AA10" s="332">
        <f>SD_RT!Z12</f>
        <v>0</v>
      </c>
      <c r="AB10" s="93" t="e" cm="1">
        <f t="array" aca="1" ref="AB10" ca="1">setChartAxis("SD_Summary","Chart SD_RT1","Min","Value","Primary",AA10)</f>
        <v>#NAME?</v>
      </c>
      <c r="AC10" s="89"/>
      <c r="AD10" s="90"/>
    </row>
    <row r="11" spans="2:30" s="14" customFormat="1" x14ac:dyDescent="0.3">
      <c r="E11" s="63"/>
      <c r="AA11" s="332">
        <f>SD_RT!Z13</f>
        <v>0</v>
      </c>
      <c r="AB11" s="89" t="e" cm="1">
        <f t="array" aca="1" ref="AB11" ca="1">setChartAxis("SD_Summary","Chart SD_RT1","Max","Value","Primary",AA11)</f>
        <v>#NAME?</v>
      </c>
      <c r="AC11" s="89"/>
      <c r="AD11" s="90"/>
    </row>
    <row r="12" spans="2:30" s="14" customFormat="1" x14ac:dyDescent="0.3">
      <c r="E12" s="63"/>
      <c r="AA12" s="91"/>
      <c r="AB12" s="89"/>
      <c r="AC12" s="89"/>
      <c r="AD12" s="90"/>
    </row>
    <row r="13" spans="2:30" x14ac:dyDescent="0.25">
      <c r="AA13" s="334">
        <f>SD_RT!Z15</f>
        <v>0</v>
      </c>
      <c r="AB13" s="93" t="e" cm="1">
        <f t="array" aca="1" ref="AB13" ca="1">setChartAxis("SD_Summary","Chart SD_RT2","Min","Value","Primary",AA13)</f>
        <v>#NAME?</v>
      </c>
      <c r="AC13" s="93"/>
      <c r="AD13" s="94"/>
    </row>
    <row r="14" spans="2:30" s="14" customFormat="1" x14ac:dyDescent="0.3">
      <c r="E14" s="63"/>
      <c r="AA14" s="332">
        <f>SD_RT!Z16</f>
        <v>0</v>
      </c>
      <c r="AB14" s="89" t="e" cm="1">
        <f t="array" aca="1" ref="AB14" ca="1">setChartAxis("SD_Summary","Chart SD_RT2","Max","Value","Primary",AA14)</f>
        <v>#NAME?</v>
      </c>
      <c r="AC14" s="89"/>
      <c r="AD14" s="90"/>
    </row>
    <row r="15" spans="2:30" s="14" customFormat="1" x14ac:dyDescent="0.3">
      <c r="E15" s="63"/>
      <c r="AA15" s="92"/>
      <c r="AB15" s="89"/>
      <c r="AC15" s="89"/>
      <c r="AD15" s="90"/>
    </row>
    <row r="16" spans="2:30" s="14" customFormat="1" x14ac:dyDescent="0.25">
      <c r="E16" s="63"/>
      <c r="AA16" s="334">
        <f>SD_RT!Z18</f>
        <v>0</v>
      </c>
      <c r="AB16" s="89" t="e" cm="1">
        <f t="array" aca="1" ref="AB16" ca="1">setChartAxis("SD_Summary","Chart SD_RT3","Min","Value","Primary",AA16)</f>
        <v>#NAME?</v>
      </c>
      <c r="AC16" s="89"/>
      <c r="AD16" s="90"/>
    </row>
    <row r="17" spans="5:30" s="14" customFormat="1" x14ac:dyDescent="0.3">
      <c r="E17" s="63"/>
      <c r="AA17" s="332">
        <f>SD_RT!Z19</f>
        <v>0</v>
      </c>
      <c r="AB17" s="89" t="e" cm="1">
        <f t="array" aca="1" ref="AB17" ca="1">setChartAxis("SD_Summary","Chart SD_RT3","Max","Value","Primary",AA17)</f>
        <v>#NAME?</v>
      </c>
      <c r="AC17" s="89"/>
      <c r="AD17" s="90"/>
    </row>
    <row r="18" spans="5:30" s="14" customFormat="1" x14ac:dyDescent="0.3">
      <c r="E18" s="63"/>
      <c r="AA18" s="91"/>
      <c r="AB18" s="89"/>
      <c r="AC18" s="89"/>
      <c r="AD18" s="90"/>
    </row>
    <row r="19" spans="5:30" x14ac:dyDescent="0.25">
      <c r="AA19" s="95">
        <f>SD_DP!Y10</f>
        <v>0</v>
      </c>
      <c r="AB19" s="93" t="e" cm="1">
        <f t="array" aca="1" ref="AB19" ca="1">setChartAxis("SD_Summary","Chart SD_DP1","Min","Value","Primary",AA19)</f>
        <v>#NAME?</v>
      </c>
      <c r="AC19" s="89"/>
      <c r="AD19" s="90"/>
    </row>
    <row r="20" spans="5:30" s="14" customFormat="1" x14ac:dyDescent="0.3">
      <c r="E20" s="63"/>
      <c r="AA20" s="96">
        <f>SD_DP!Y11</f>
        <v>0</v>
      </c>
      <c r="AB20" s="97" t="e" cm="1">
        <f t="array" aca="1" ref="AB20" ca="1">setChartAxis("SD_Summary","Chart SD_DP1","Max","Value","Primary",AA20)</f>
        <v>#NAME?</v>
      </c>
      <c r="AC20" s="97"/>
      <c r="AD20" s="98"/>
    </row>
    <row r="21" spans="5:30" s="14" customFormat="1" x14ac:dyDescent="0.3">
      <c r="E21" s="63"/>
    </row>
    <row r="22" spans="5:30" s="14" customFormat="1" x14ac:dyDescent="0.25">
      <c r="E22" s="63"/>
      <c r="AA22" s="1"/>
      <c r="AB22" s="1"/>
      <c r="AC22" s="1"/>
      <c r="AD22" s="1"/>
    </row>
    <row r="23" spans="5:30" s="14" customFormat="1" x14ac:dyDescent="0.3">
      <c r="E23" s="63"/>
    </row>
    <row r="24" spans="5:30" s="14" customFormat="1" x14ac:dyDescent="0.3">
      <c r="E24" s="63"/>
    </row>
    <row r="25" spans="5:30" x14ac:dyDescent="0.25">
      <c r="AA25" s="14"/>
      <c r="AB25" s="14"/>
      <c r="AC25" s="14"/>
      <c r="AD25" s="14"/>
    </row>
    <row r="26" spans="5:30" x14ac:dyDescent="0.25">
      <c r="AA26" s="14"/>
      <c r="AB26" s="14"/>
      <c r="AC26" s="14"/>
      <c r="AD26" s="14"/>
    </row>
    <row r="27" spans="5:30" x14ac:dyDescent="0.25">
      <c r="AA27" s="14"/>
      <c r="AB27" s="14"/>
      <c r="AC27" s="14"/>
      <c r="AD27" s="14"/>
    </row>
    <row r="28" spans="5:30" x14ac:dyDescent="0.25">
      <c r="AA28" s="14"/>
      <c r="AB28" s="14"/>
      <c r="AC28" s="14"/>
      <c r="AD28" s="14"/>
    </row>
    <row r="29" spans="5:30" x14ac:dyDescent="0.25">
      <c r="AA29" s="14"/>
      <c r="AB29" s="14"/>
      <c r="AC29" s="14"/>
      <c r="AD29" s="14"/>
    </row>
    <row r="30" spans="5:30" x14ac:dyDescent="0.25">
      <c r="AA30" s="14"/>
      <c r="AB30" s="14"/>
      <c r="AC30" s="14"/>
      <c r="AD30" s="14"/>
    </row>
    <row r="31" spans="5:30" x14ac:dyDescent="0.25">
      <c r="AA31" s="14"/>
      <c r="AB31" s="14"/>
      <c r="AC31" s="14"/>
      <c r="AD31" s="14"/>
    </row>
    <row r="32" spans="5:30" x14ac:dyDescent="0.25">
      <c r="AA32" s="14"/>
      <c r="AB32" s="14"/>
      <c r="AC32" s="14"/>
      <c r="AD32" s="14"/>
    </row>
    <row r="33" spans="5:30" x14ac:dyDescent="0.25">
      <c r="AA33" s="14"/>
      <c r="AB33" s="14"/>
      <c r="AC33" s="14"/>
      <c r="AD33" s="14"/>
    </row>
    <row r="34" spans="5:30" x14ac:dyDescent="0.25">
      <c r="AA34" s="14"/>
      <c r="AB34" s="14"/>
      <c r="AC34" s="14"/>
      <c r="AD34" s="14"/>
    </row>
    <row r="35" spans="5:30" ht="13.5" customHeight="1" x14ac:dyDescent="0.25">
      <c r="AA35" s="14"/>
      <c r="AB35" s="14"/>
      <c r="AC35" s="14"/>
      <c r="AD35" s="14"/>
    </row>
    <row r="36" spans="5:30" x14ac:dyDescent="0.25">
      <c r="E36" s="66"/>
      <c r="F36" s="312" t="s">
        <v>194</v>
      </c>
      <c r="G36" s="312"/>
      <c r="H36" s="312"/>
      <c r="I36" s="312"/>
      <c r="J36" s="312"/>
      <c r="K36" s="312"/>
      <c r="L36" s="312"/>
      <c r="M36" s="312"/>
      <c r="N36" s="312"/>
      <c r="O36" s="312"/>
      <c r="P36" s="312"/>
      <c r="Q36" s="312"/>
      <c r="R36" s="312"/>
      <c r="S36" s="312"/>
      <c r="T36" s="312"/>
      <c r="U36" s="312"/>
      <c r="V36" s="312"/>
      <c r="W36" s="312"/>
      <c r="X36" s="312"/>
      <c r="Y36" s="312"/>
    </row>
    <row r="37" spans="5:30" x14ac:dyDescent="0.25">
      <c r="AA37" s="14"/>
      <c r="AB37" s="14"/>
      <c r="AC37" s="14"/>
      <c r="AD37" s="14"/>
    </row>
    <row r="38" spans="5:30" x14ac:dyDescent="0.25">
      <c r="AA38" s="14"/>
      <c r="AB38" s="14"/>
      <c r="AC38" s="14"/>
      <c r="AD38" s="14"/>
    </row>
    <row r="39" spans="5:30" x14ac:dyDescent="0.25">
      <c r="AA39" s="14"/>
      <c r="AB39" s="14"/>
      <c r="AC39" s="14"/>
      <c r="AD39" s="14"/>
    </row>
    <row r="40" spans="5:30" x14ac:dyDescent="0.25">
      <c r="AA40" s="14"/>
      <c r="AB40" s="14"/>
      <c r="AC40" s="14"/>
      <c r="AD40" s="14"/>
    </row>
    <row r="41" spans="5:30" x14ac:dyDescent="0.25">
      <c r="AA41" s="14"/>
      <c r="AB41" s="14"/>
      <c r="AC41" s="14"/>
      <c r="AD41" s="14"/>
    </row>
    <row r="42" spans="5:30" x14ac:dyDescent="0.25">
      <c r="AA42" s="14"/>
      <c r="AB42" s="14"/>
      <c r="AC42" s="14"/>
      <c r="AD42" s="14"/>
    </row>
    <row r="43" spans="5:30" x14ac:dyDescent="0.25">
      <c r="AA43" s="14"/>
      <c r="AB43" s="14"/>
      <c r="AC43" s="14"/>
      <c r="AD43" s="14"/>
    </row>
    <row r="44" spans="5:30" x14ac:dyDescent="0.25">
      <c r="AA44" s="14"/>
      <c r="AB44" s="14"/>
      <c r="AC44" s="14"/>
      <c r="AD44" s="14"/>
    </row>
    <row r="45" spans="5:30" x14ac:dyDescent="0.25">
      <c r="AA45" s="14"/>
      <c r="AB45" s="14"/>
      <c r="AC45" s="14"/>
      <c r="AD45" s="14"/>
    </row>
    <row r="46" spans="5:30" x14ac:dyDescent="0.25">
      <c r="AA46" s="14"/>
      <c r="AB46" s="14"/>
      <c r="AC46" s="14"/>
      <c r="AD46" s="14"/>
    </row>
    <row r="47" spans="5:30" x14ac:dyDescent="0.25">
      <c r="AA47" s="14"/>
      <c r="AB47" s="14"/>
      <c r="AC47" s="14"/>
      <c r="AD47" s="14"/>
    </row>
    <row r="48" spans="5:30" x14ac:dyDescent="0.25">
      <c r="AA48" s="14"/>
      <c r="AB48" s="14"/>
      <c r="AC48" s="14"/>
      <c r="AD48" s="14"/>
    </row>
    <row r="49" spans="27:30" x14ac:dyDescent="0.25">
      <c r="AA49" s="14"/>
      <c r="AB49" s="14"/>
      <c r="AC49" s="14"/>
      <c r="AD49" s="14"/>
    </row>
    <row r="50" spans="27:30" x14ac:dyDescent="0.25">
      <c r="AA50" s="14"/>
      <c r="AB50" s="14"/>
      <c r="AC50" s="14"/>
      <c r="AD50" s="14"/>
    </row>
    <row r="51" spans="27:30" x14ac:dyDescent="0.25">
      <c r="AA51" s="14"/>
      <c r="AB51" s="14"/>
      <c r="AC51" s="14"/>
      <c r="AD51" s="14"/>
    </row>
    <row r="52" spans="27:30" x14ac:dyDescent="0.25">
      <c r="AA52" s="14"/>
      <c r="AB52" s="14"/>
      <c r="AC52" s="14"/>
      <c r="AD52" s="14"/>
    </row>
    <row r="53" spans="27:30" x14ac:dyDescent="0.25">
      <c r="AA53" s="14"/>
      <c r="AB53" s="14"/>
      <c r="AC53" s="14"/>
      <c r="AD53" s="14"/>
    </row>
    <row r="54" spans="27:30" x14ac:dyDescent="0.25">
      <c r="AA54" s="14"/>
      <c r="AB54" s="14"/>
      <c r="AC54" s="14"/>
      <c r="AD54" s="14"/>
    </row>
    <row r="55" spans="27:30" x14ac:dyDescent="0.25">
      <c r="AA55" s="14"/>
      <c r="AB55" s="14"/>
      <c r="AC55" s="14"/>
      <c r="AD55" s="14"/>
    </row>
    <row r="56" spans="27:30" x14ac:dyDescent="0.25">
      <c r="AA56" s="14"/>
      <c r="AB56" s="14"/>
      <c r="AC56" s="14"/>
      <c r="AD56" s="14"/>
    </row>
    <row r="57" spans="27:30" x14ac:dyDescent="0.25">
      <c r="AA57" s="14"/>
      <c r="AB57" s="14"/>
      <c r="AC57" s="14"/>
      <c r="AD57" s="14"/>
    </row>
    <row r="58" spans="27:30" x14ac:dyDescent="0.25">
      <c r="AA58" s="14"/>
      <c r="AB58" s="14"/>
      <c r="AC58" s="14"/>
      <c r="AD58" s="14"/>
    </row>
    <row r="59" spans="27:30" x14ac:dyDescent="0.25">
      <c r="AA59" s="14"/>
      <c r="AB59" s="14"/>
      <c r="AC59" s="14"/>
      <c r="AD59" s="14"/>
    </row>
    <row r="60" spans="27:30" x14ac:dyDescent="0.25">
      <c r="AA60" s="14"/>
      <c r="AB60" s="14"/>
      <c r="AC60" s="14"/>
      <c r="AD60" s="14"/>
    </row>
    <row r="61" spans="27:30" x14ac:dyDescent="0.25">
      <c r="AA61" s="14"/>
      <c r="AB61" s="14"/>
      <c r="AC61" s="14"/>
      <c r="AD61" s="14"/>
    </row>
    <row r="62" spans="27:30" x14ac:dyDescent="0.25">
      <c r="AA62" s="14"/>
      <c r="AB62" s="14"/>
      <c r="AC62" s="14"/>
      <c r="AD62" s="14"/>
    </row>
    <row r="63" spans="27:30" x14ac:dyDescent="0.25">
      <c r="AA63" s="14"/>
      <c r="AB63" s="14"/>
      <c r="AC63" s="14"/>
      <c r="AD63" s="14"/>
    </row>
    <row r="64" spans="27:30" x14ac:dyDescent="0.25">
      <c r="AA64" s="14"/>
      <c r="AB64" s="14"/>
      <c r="AC64" s="14"/>
      <c r="AD64" s="14"/>
    </row>
    <row r="65" spans="5:30" x14ac:dyDescent="0.25">
      <c r="E65" s="66"/>
      <c r="F65" s="312" t="s">
        <v>179</v>
      </c>
      <c r="G65" s="312"/>
      <c r="H65" s="312"/>
      <c r="K65" s="312" t="s">
        <v>194</v>
      </c>
      <c r="L65" s="312"/>
      <c r="M65" s="312"/>
      <c r="N65" s="312"/>
      <c r="O65" s="312"/>
      <c r="P65" s="312"/>
      <c r="Q65" s="312"/>
      <c r="R65" s="312"/>
      <c r="S65" s="312"/>
      <c r="T65" s="312"/>
      <c r="U65" s="312"/>
      <c r="V65" s="312"/>
      <c r="Y65" s="312" t="s">
        <v>440</v>
      </c>
      <c r="Z65" s="312"/>
      <c r="AA65" s="312"/>
    </row>
    <row r="66" spans="5:30" x14ac:dyDescent="0.25">
      <c r="AA66" s="14"/>
      <c r="AB66" s="14"/>
      <c r="AC66" s="14"/>
      <c r="AD66" s="14"/>
    </row>
    <row r="67" spans="5:30" x14ac:dyDescent="0.25">
      <c r="F67" s="39" t="str">
        <f>IFERROR(SD_CS!G9-SD_CS!G6,"")</f>
        <v/>
      </c>
      <c r="G67" s="1" t="s">
        <v>218</v>
      </c>
      <c r="K67" s="335" t="str">
        <f>IFERROR(SD_RT!G22-SD_RT!G6,"")</f>
        <v/>
      </c>
      <c r="L67" s="1" t="s">
        <v>229</v>
      </c>
      <c r="O67" s="335">
        <f>IFERROR(SD_RT!G24-SD_RT!G8,"")</f>
        <v>0</v>
      </c>
      <c r="P67" s="1" t="s">
        <v>226</v>
      </c>
      <c r="S67" s="335">
        <f>IFERROR(SD_RT!G26-SD_RT!G10,"")</f>
        <v>0</v>
      </c>
      <c r="T67" s="1" t="s">
        <v>262</v>
      </c>
      <c r="Y67" s="45" t="str">
        <f>IFERROR(SD_DP!G9-SD_DP!G6,"")</f>
        <v/>
      </c>
    </row>
    <row r="69" spans="5:30" x14ac:dyDescent="0.25">
      <c r="F69" s="45" t="str">
        <f>IFERROR(F67/SD_CS!G6,"")</f>
        <v/>
      </c>
      <c r="G69" s="1" t="s">
        <v>219</v>
      </c>
      <c r="K69" s="45" t="str">
        <f>IFERROR(K67/SD_RT!G6,"")</f>
        <v/>
      </c>
      <c r="L69" s="1" t="s">
        <v>227</v>
      </c>
      <c r="O69" s="45" t="str">
        <f>IFERROR(O67/SD_RT!G8,"")</f>
        <v/>
      </c>
      <c r="P69" s="1" t="s">
        <v>228</v>
      </c>
      <c r="S69" s="45" t="str">
        <f>IFERROR(S67/SD_RT!G10,"")</f>
        <v/>
      </c>
      <c r="T69" s="1" t="s">
        <v>263</v>
      </c>
      <c r="Y69" s="45" t="str">
        <f>IFERROR(Y67/SD_DP!G6,"")</f>
        <v/>
      </c>
    </row>
    <row r="70" spans="5:30" s="70" customFormat="1" x14ac:dyDescent="0.25">
      <c r="E70" s="74"/>
      <c r="F70" s="339" t="str">
        <f>SD_CS!G11</f>
        <v/>
      </c>
      <c r="K70" s="341" t="str">
        <f>COM_RT!G31</f>
        <v/>
      </c>
      <c r="O70" s="341">
        <f>COM_RT!G34</f>
        <v>0</v>
      </c>
      <c r="S70" s="341">
        <f>COM_RT!G37</f>
        <v>0</v>
      </c>
      <c r="Y70" s="342" t="str">
        <f>COM_DP!G11</f>
        <v/>
      </c>
      <c r="AA70" s="148"/>
      <c r="AB70" s="148"/>
      <c r="AC70" s="148"/>
      <c r="AD70" s="148"/>
    </row>
    <row r="71" spans="5:30" s="70" customFormat="1" x14ac:dyDescent="0.25">
      <c r="E71" s="74"/>
      <c r="F71" s="339">
        <f>SD_CS!G9</f>
        <v>0</v>
      </c>
      <c r="K71" s="341">
        <f>COM_RT!G22</f>
        <v>0</v>
      </c>
      <c r="O71" s="341">
        <f>COM_RT!G24</f>
        <v>0</v>
      </c>
      <c r="S71" s="341">
        <f>COM_RT!G26</f>
        <v>0</v>
      </c>
      <c r="Y71" s="342">
        <f>COM_DP!G9</f>
        <v>0</v>
      </c>
      <c r="AA71" s="148"/>
      <c r="AB71" s="148"/>
      <c r="AC71" s="148"/>
      <c r="AD71" s="148"/>
    </row>
    <row r="72" spans="5:30" s="148" customFormat="1" x14ac:dyDescent="0.25">
      <c r="E72" s="350"/>
      <c r="F72" s="339" t="str">
        <f>SD_CS!G13</f>
        <v/>
      </c>
      <c r="K72" s="341" t="str">
        <f>COM_RT!G32</f>
        <v/>
      </c>
      <c r="O72" s="341">
        <f>COM_RT!G35</f>
        <v>0</v>
      </c>
      <c r="S72" s="341">
        <f>COM_RT!G38</f>
        <v>0</v>
      </c>
      <c r="Y72" s="342" t="str">
        <f>COM_DP!G13</f>
        <v/>
      </c>
    </row>
    <row r="73" spans="5:30" x14ac:dyDescent="0.25">
      <c r="F73" s="338" t="s">
        <v>448</v>
      </c>
    </row>
    <row r="74" spans="5:30" x14ac:dyDescent="0.25">
      <c r="AA74" s="70"/>
      <c r="AB74" s="70"/>
      <c r="AC74" s="70"/>
      <c r="AD74" s="70"/>
    </row>
    <row r="75" spans="5:30" x14ac:dyDescent="0.25">
      <c r="F75" s="48"/>
      <c r="G75" s="1" t="s">
        <v>220</v>
      </c>
    </row>
    <row r="77" spans="5:30" x14ac:dyDescent="0.25">
      <c r="F77" s="47"/>
      <c r="G77" s="1" t="s">
        <v>221</v>
      </c>
    </row>
    <row r="78" spans="5:30" x14ac:dyDescent="0.25">
      <c r="F78" s="31"/>
      <c r="G78" s="31"/>
      <c r="H78" s="31"/>
      <c r="I78" s="31"/>
      <c r="J78" s="31"/>
      <c r="K78" s="31"/>
      <c r="L78" s="31"/>
      <c r="M78" s="31"/>
      <c r="N78" s="31"/>
      <c r="O78" s="31"/>
      <c r="P78" s="31"/>
      <c r="Q78" s="31"/>
      <c r="R78" s="31"/>
      <c r="S78" s="31"/>
      <c r="T78" s="31"/>
      <c r="U78" s="31"/>
      <c r="V78" s="31"/>
      <c r="W78" s="31"/>
      <c r="X78" s="31"/>
      <c r="Y78" s="31"/>
    </row>
    <row r="80" spans="5:30" x14ac:dyDescent="0.25">
      <c r="F80" s="55" t="s">
        <v>230</v>
      </c>
      <c r="G80" s="55"/>
      <c r="H80" s="55"/>
      <c r="I80" s="55"/>
      <c r="J80" s="55"/>
      <c r="K80" s="55"/>
      <c r="L80" s="55"/>
      <c r="M80" s="55"/>
      <c r="N80" s="55"/>
      <c r="O80" s="55"/>
      <c r="P80" s="55"/>
      <c r="Q80" s="55"/>
      <c r="R80" s="55"/>
      <c r="S80" s="55"/>
      <c r="T80" s="55"/>
      <c r="U80" s="55"/>
      <c r="V80" s="55"/>
      <c r="W80" s="55"/>
      <c r="X80" s="55"/>
      <c r="Y80" s="55"/>
    </row>
    <row r="81" spans="5:25" x14ac:dyDescent="0.25">
      <c r="E81" s="66"/>
    </row>
    <row r="82" spans="5:25" x14ac:dyDescent="0.25">
      <c r="E82" s="66"/>
    </row>
    <row r="83" spans="5:25" x14ac:dyDescent="0.25">
      <c r="E83" s="66"/>
    </row>
    <row r="84" spans="5:25" x14ac:dyDescent="0.25">
      <c r="E84" s="66"/>
    </row>
    <row r="85" spans="5:25" x14ac:dyDescent="0.25">
      <c r="E85" s="66"/>
    </row>
    <row r="86" spans="5:25" x14ac:dyDescent="0.25">
      <c r="E86" s="66"/>
    </row>
    <row r="87" spans="5:25" x14ac:dyDescent="0.25">
      <c r="E87" s="66"/>
    </row>
    <row r="88" spans="5:25" x14ac:dyDescent="0.25">
      <c r="E88" s="66"/>
    </row>
    <row r="89" spans="5:25" x14ac:dyDescent="0.25">
      <c r="E89" s="66"/>
    </row>
    <row r="90" spans="5:25" x14ac:dyDescent="0.25">
      <c r="E90" s="66"/>
      <c r="F90" s="14" t="s">
        <v>444</v>
      </c>
      <c r="G90" s="14"/>
      <c r="H90" s="14"/>
      <c r="I90" s="14"/>
      <c r="J90" s="14"/>
      <c r="K90" s="14"/>
      <c r="L90" s="14"/>
      <c r="M90" s="14"/>
    </row>
    <row r="91" spans="5:25" x14ac:dyDescent="0.25">
      <c r="E91" s="66"/>
      <c r="F91" s="73" t="s">
        <v>236</v>
      </c>
      <c r="G91" s="57"/>
      <c r="H91" s="57"/>
      <c r="I91" s="57"/>
      <c r="J91" s="57"/>
      <c r="K91" s="57"/>
      <c r="L91" s="57"/>
      <c r="M91" s="57"/>
      <c r="N91" s="57"/>
      <c r="O91" s="57"/>
      <c r="P91" s="57"/>
      <c r="Q91" s="57"/>
      <c r="R91" s="57"/>
      <c r="S91" s="57"/>
      <c r="T91" s="57"/>
      <c r="U91" s="57"/>
      <c r="V91" s="57"/>
      <c r="W91" s="57"/>
      <c r="X91" s="57"/>
      <c r="Y91" s="57"/>
    </row>
    <row r="92" spans="5:25" x14ac:dyDescent="0.25">
      <c r="E92" s="66"/>
      <c r="F92" s="73" t="s">
        <v>236</v>
      </c>
      <c r="G92" s="57"/>
      <c r="H92" s="57"/>
      <c r="I92" s="57"/>
      <c r="J92" s="57"/>
      <c r="K92" s="57"/>
      <c r="L92" s="57"/>
      <c r="M92" s="57"/>
      <c r="N92" s="57"/>
      <c r="O92" s="57"/>
      <c r="P92" s="57"/>
      <c r="Q92" s="57"/>
      <c r="R92" s="57"/>
      <c r="S92" s="57"/>
      <c r="T92" s="57"/>
      <c r="U92" s="57"/>
      <c r="V92" s="57"/>
      <c r="W92" s="57"/>
      <c r="X92" s="57"/>
      <c r="Y92" s="57"/>
    </row>
    <row r="93" spans="5:25" x14ac:dyDescent="0.25">
      <c r="E93" s="66"/>
      <c r="F93" s="73" t="s">
        <v>236</v>
      </c>
      <c r="G93" s="57"/>
      <c r="H93" s="57"/>
      <c r="I93" s="57"/>
      <c r="J93" s="57"/>
      <c r="K93" s="57"/>
      <c r="L93" s="57"/>
      <c r="M93" s="57"/>
      <c r="N93" s="57"/>
      <c r="O93" s="57"/>
      <c r="P93" s="57"/>
      <c r="Q93" s="57"/>
      <c r="R93" s="57"/>
      <c r="S93" s="57"/>
      <c r="T93" s="57"/>
      <c r="U93" s="57"/>
      <c r="V93" s="57"/>
      <c r="W93" s="57"/>
      <c r="X93" s="57"/>
      <c r="Y93" s="57"/>
    </row>
    <row r="94" spans="5:25" x14ac:dyDescent="0.25">
      <c r="E94" s="66"/>
      <c r="F94" s="73" t="s">
        <v>236</v>
      </c>
      <c r="G94" s="57"/>
      <c r="H94" s="57"/>
      <c r="I94" s="57"/>
      <c r="J94" s="57"/>
      <c r="K94" s="57"/>
      <c r="L94" s="57"/>
      <c r="M94" s="57"/>
      <c r="N94" s="57"/>
      <c r="O94" s="57"/>
      <c r="P94" s="57"/>
      <c r="Q94" s="57"/>
      <c r="R94" s="57"/>
      <c r="S94" s="57"/>
      <c r="T94" s="57"/>
      <c r="U94" s="57"/>
      <c r="V94" s="57"/>
      <c r="W94" s="57"/>
      <c r="X94" s="57"/>
      <c r="Y94" s="57"/>
    </row>
    <row r="95" spans="5:25" x14ac:dyDescent="0.25">
      <c r="E95" s="66"/>
      <c r="F95" s="73" t="s">
        <v>236</v>
      </c>
      <c r="G95" s="57"/>
      <c r="H95" s="57"/>
      <c r="I95" s="57"/>
      <c r="J95" s="57"/>
      <c r="K95" s="57"/>
      <c r="L95" s="57"/>
      <c r="M95" s="57"/>
      <c r="N95" s="57"/>
      <c r="O95" s="57"/>
      <c r="P95" s="57"/>
      <c r="Q95" s="57"/>
      <c r="R95" s="57"/>
      <c r="S95" s="57"/>
      <c r="T95" s="57"/>
      <c r="U95" s="57"/>
      <c r="V95" s="57"/>
      <c r="W95" s="57"/>
      <c r="X95" s="57"/>
      <c r="Y95" s="57"/>
    </row>
    <row r="96" spans="5:25" x14ac:dyDescent="0.25">
      <c r="E96" s="66"/>
      <c r="F96" s="73" t="s">
        <v>236</v>
      </c>
      <c r="G96" s="57"/>
      <c r="H96" s="57"/>
      <c r="I96" s="57"/>
      <c r="J96" s="57"/>
      <c r="K96" s="57"/>
      <c r="L96" s="57"/>
      <c r="M96" s="57"/>
      <c r="N96" s="57"/>
      <c r="O96" s="57"/>
      <c r="P96" s="57"/>
      <c r="Q96" s="57"/>
      <c r="R96" s="57"/>
      <c r="S96" s="57"/>
      <c r="T96" s="57"/>
      <c r="U96" s="57"/>
      <c r="V96" s="57"/>
      <c r="W96" s="57"/>
      <c r="X96" s="57"/>
      <c r="Y96" s="57"/>
    </row>
    <row r="97" spans="5:25" x14ac:dyDescent="0.25">
      <c r="E97" s="66"/>
      <c r="F97" s="73" t="s">
        <v>236</v>
      </c>
      <c r="G97" s="57"/>
      <c r="H97" s="57"/>
      <c r="I97" s="57"/>
      <c r="J97" s="57"/>
      <c r="K97" s="57"/>
      <c r="L97" s="57"/>
      <c r="M97" s="57"/>
      <c r="N97" s="57"/>
      <c r="O97" s="57"/>
      <c r="P97" s="57"/>
      <c r="Q97" s="57"/>
      <c r="R97" s="57"/>
      <c r="S97" s="57"/>
      <c r="T97" s="57"/>
      <c r="U97" s="57"/>
      <c r="V97" s="57"/>
      <c r="W97" s="57"/>
      <c r="X97" s="57"/>
      <c r="Y97" s="57"/>
    </row>
    <row r="98" spans="5:25" x14ac:dyDescent="0.25">
      <c r="E98" s="66"/>
      <c r="F98" s="73" t="s">
        <v>236</v>
      </c>
      <c r="G98" s="57"/>
      <c r="H98" s="57"/>
      <c r="I98" s="57"/>
      <c r="J98" s="57"/>
      <c r="K98" s="57"/>
      <c r="L98" s="57"/>
      <c r="M98" s="57"/>
      <c r="N98" s="57"/>
      <c r="O98" s="57"/>
      <c r="P98" s="57"/>
      <c r="Q98" s="57"/>
      <c r="R98" s="57"/>
      <c r="S98" s="57"/>
      <c r="T98" s="57"/>
      <c r="U98" s="57"/>
      <c r="V98" s="57"/>
      <c r="W98" s="57"/>
      <c r="X98" s="57"/>
      <c r="Y98" s="57"/>
    </row>
    <row r="99" spans="5:25" x14ac:dyDescent="0.25">
      <c r="E99" s="66"/>
      <c r="F99" s="73" t="s">
        <v>236</v>
      </c>
      <c r="G99" s="57"/>
      <c r="H99" s="57"/>
      <c r="I99" s="57"/>
      <c r="J99" s="57"/>
      <c r="K99" s="57"/>
      <c r="L99" s="57"/>
      <c r="M99" s="57"/>
      <c r="N99" s="57"/>
      <c r="O99" s="57"/>
      <c r="P99" s="57"/>
      <c r="Q99" s="57"/>
      <c r="R99" s="57"/>
      <c r="S99" s="57"/>
      <c r="T99" s="57"/>
      <c r="U99" s="57"/>
      <c r="V99" s="57"/>
      <c r="W99" s="57"/>
      <c r="X99" s="57"/>
      <c r="Y99" s="57"/>
    </row>
    <row r="100" spans="5:25" x14ac:dyDescent="0.25">
      <c r="E100" s="66"/>
    </row>
    <row r="101" spans="5:25" x14ac:dyDescent="0.25">
      <c r="E101" s="66"/>
      <c r="F101" s="14" t="s">
        <v>445</v>
      </c>
      <c r="G101" s="14"/>
      <c r="H101" s="14"/>
      <c r="I101" s="14"/>
      <c r="J101" s="14"/>
      <c r="K101" s="14"/>
      <c r="L101" s="14"/>
      <c r="M101" s="14"/>
    </row>
    <row r="102" spans="5:25" x14ac:dyDescent="0.25">
      <c r="E102" s="66"/>
      <c r="F102" s="73" t="s">
        <v>236</v>
      </c>
      <c r="G102" s="57"/>
      <c r="H102" s="57"/>
      <c r="I102" s="57"/>
      <c r="J102" s="57"/>
      <c r="K102" s="57"/>
      <c r="L102" s="57"/>
      <c r="M102" s="57"/>
      <c r="N102" s="57"/>
      <c r="O102" s="57"/>
      <c r="P102" s="57"/>
      <c r="Q102" s="57"/>
      <c r="R102" s="57"/>
      <c r="S102" s="57"/>
      <c r="T102" s="57"/>
      <c r="U102" s="57"/>
      <c r="V102" s="57"/>
      <c r="W102" s="57"/>
      <c r="X102" s="57"/>
      <c r="Y102" s="57"/>
    </row>
    <row r="103" spans="5:25" x14ac:dyDescent="0.25">
      <c r="E103" s="66"/>
      <c r="F103" s="73" t="s">
        <v>236</v>
      </c>
      <c r="G103" s="57"/>
      <c r="H103" s="57"/>
      <c r="I103" s="57"/>
      <c r="J103" s="57"/>
      <c r="K103" s="57"/>
      <c r="L103" s="57"/>
      <c r="M103" s="57"/>
      <c r="N103" s="57"/>
      <c r="O103" s="57"/>
      <c r="P103" s="57"/>
      <c r="Q103" s="57"/>
      <c r="R103" s="57"/>
      <c r="S103" s="57"/>
      <c r="T103" s="57"/>
      <c r="U103" s="57"/>
      <c r="V103" s="57"/>
      <c r="W103" s="57"/>
      <c r="X103" s="57"/>
      <c r="Y103" s="57"/>
    </row>
    <row r="104" spans="5:25" x14ac:dyDescent="0.25">
      <c r="E104" s="66"/>
      <c r="F104" s="73" t="s">
        <v>236</v>
      </c>
      <c r="G104" s="57"/>
      <c r="H104" s="57"/>
      <c r="I104" s="57"/>
      <c r="J104" s="57"/>
      <c r="K104" s="57"/>
      <c r="L104" s="57"/>
      <c r="M104" s="57"/>
      <c r="N104" s="57"/>
      <c r="O104" s="57"/>
      <c r="P104" s="57"/>
      <c r="Q104" s="57"/>
      <c r="R104" s="57"/>
      <c r="S104" s="57"/>
      <c r="T104" s="57"/>
      <c r="U104" s="57"/>
      <c r="V104" s="57"/>
      <c r="W104" s="57"/>
      <c r="X104" s="57"/>
      <c r="Y104" s="57"/>
    </row>
    <row r="105" spans="5:25" x14ac:dyDescent="0.25">
      <c r="E105" s="66"/>
      <c r="F105" s="73" t="s">
        <v>236</v>
      </c>
      <c r="G105" s="57"/>
      <c r="H105" s="57"/>
      <c r="I105" s="57"/>
      <c r="J105" s="57"/>
      <c r="K105" s="57"/>
      <c r="L105" s="57"/>
      <c r="M105" s="57"/>
      <c r="N105" s="57"/>
      <c r="O105" s="57"/>
      <c r="P105" s="57"/>
      <c r="Q105" s="57"/>
      <c r="R105" s="57"/>
      <c r="S105" s="57"/>
      <c r="T105" s="57"/>
      <c r="U105" s="57"/>
      <c r="V105" s="57"/>
      <c r="W105" s="57"/>
      <c r="X105" s="57"/>
      <c r="Y105" s="57"/>
    </row>
    <row r="106" spans="5:25" x14ac:dyDescent="0.25">
      <c r="E106" s="66"/>
      <c r="F106" s="73" t="s">
        <v>236</v>
      </c>
      <c r="G106" s="57"/>
      <c r="H106" s="57"/>
      <c r="I106" s="57"/>
      <c r="J106" s="57"/>
      <c r="K106" s="57"/>
      <c r="L106" s="57"/>
      <c r="M106" s="57"/>
      <c r="N106" s="57"/>
      <c r="O106" s="57"/>
      <c r="P106" s="57"/>
      <c r="Q106" s="57"/>
      <c r="R106" s="57"/>
      <c r="S106" s="57"/>
      <c r="T106" s="57"/>
      <c r="U106" s="57"/>
      <c r="V106" s="57"/>
      <c r="W106" s="57"/>
      <c r="X106" s="57"/>
      <c r="Y106" s="57"/>
    </row>
    <row r="107" spans="5:25" x14ac:dyDescent="0.25">
      <c r="E107" s="66"/>
      <c r="F107" s="73" t="s">
        <v>236</v>
      </c>
      <c r="G107" s="57"/>
      <c r="H107" s="57"/>
      <c r="I107" s="57"/>
      <c r="J107" s="57"/>
      <c r="K107" s="57"/>
      <c r="L107" s="57"/>
      <c r="M107" s="57"/>
      <c r="N107" s="57"/>
      <c r="O107" s="57"/>
      <c r="P107" s="57"/>
      <c r="Q107" s="57"/>
      <c r="R107" s="57"/>
      <c r="S107" s="57"/>
      <c r="T107" s="57"/>
      <c r="U107" s="57"/>
      <c r="V107" s="57"/>
      <c r="W107" s="57"/>
      <c r="X107" s="57"/>
      <c r="Y107" s="57"/>
    </row>
    <row r="108" spans="5:25" x14ac:dyDescent="0.25">
      <c r="E108" s="66"/>
      <c r="F108" s="73" t="s">
        <v>236</v>
      </c>
      <c r="G108" s="57"/>
      <c r="H108" s="57"/>
      <c r="I108" s="57"/>
      <c r="J108" s="57"/>
      <c r="K108" s="57"/>
      <c r="L108" s="57"/>
      <c r="M108" s="57"/>
      <c r="N108" s="57"/>
      <c r="O108" s="57"/>
      <c r="P108" s="57"/>
      <c r="Q108" s="57"/>
      <c r="R108" s="57"/>
      <c r="S108" s="57"/>
      <c r="T108" s="57"/>
      <c r="U108" s="57"/>
      <c r="V108" s="57"/>
      <c r="W108" s="57"/>
      <c r="X108" s="57"/>
      <c r="Y108" s="57"/>
    </row>
    <row r="109" spans="5:25" x14ac:dyDescent="0.25">
      <c r="E109" s="66"/>
      <c r="F109" s="73" t="s">
        <v>236</v>
      </c>
      <c r="G109" s="57"/>
      <c r="H109" s="57"/>
      <c r="I109" s="57"/>
      <c r="J109" s="57"/>
      <c r="K109" s="57"/>
      <c r="L109" s="57"/>
      <c r="M109" s="57"/>
      <c r="N109" s="57"/>
      <c r="O109" s="57"/>
      <c r="P109" s="57"/>
      <c r="Q109" s="57"/>
      <c r="R109" s="57"/>
      <c r="S109" s="57"/>
      <c r="T109" s="57"/>
      <c r="U109" s="57"/>
      <c r="V109" s="57"/>
      <c r="W109" s="57"/>
      <c r="X109" s="57"/>
      <c r="Y109" s="57"/>
    </row>
    <row r="110" spans="5:25" x14ac:dyDescent="0.25">
      <c r="E110" s="66"/>
      <c r="F110" s="73" t="s">
        <v>236</v>
      </c>
      <c r="G110" s="57"/>
      <c r="H110" s="57"/>
      <c r="I110" s="57"/>
      <c r="J110" s="57"/>
      <c r="K110" s="57"/>
      <c r="L110" s="57"/>
      <c r="M110" s="57"/>
      <c r="N110" s="57"/>
      <c r="O110" s="57"/>
      <c r="P110" s="57"/>
      <c r="Q110" s="57"/>
      <c r="R110" s="57"/>
      <c r="S110" s="57"/>
      <c r="T110" s="57"/>
      <c r="U110" s="57"/>
      <c r="V110" s="57"/>
      <c r="W110" s="57"/>
      <c r="X110" s="57"/>
      <c r="Y110" s="57"/>
    </row>
    <row r="111" spans="5:25" x14ac:dyDescent="0.25">
      <c r="E111" s="66"/>
    </row>
    <row r="112" spans="5:25" x14ac:dyDescent="0.25">
      <c r="E112" s="66"/>
      <c r="F112" s="14" t="s">
        <v>446</v>
      </c>
      <c r="G112" s="14"/>
      <c r="H112" s="14"/>
      <c r="I112" s="14"/>
      <c r="J112" s="14"/>
      <c r="K112" s="14"/>
      <c r="L112" s="14"/>
      <c r="M112" s="14"/>
    </row>
    <row r="113" spans="5:25" x14ac:dyDescent="0.25">
      <c r="E113" s="66"/>
      <c r="F113" s="73" t="s">
        <v>236</v>
      </c>
      <c r="G113" s="57"/>
      <c r="H113" s="57"/>
      <c r="I113" s="57"/>
      <c r="J113" s="57"/>
      <c r="K113" s="57"/>
      <c r="L113" s="57"/>
      <c r="M113" s="57"/>
      <c r="N113" s="57"/>
      <c r="O113" s="57"/>
      <c r="P113" s="57"/>
      <c r="Q113" s="57"/>
      <c r="R113" s="57"/>
      <c r="S113" s="57"/>
      <c r="T113" s="57"/>
      <c r="U113" s="57"/>
      <c r="V113" s="57"/>
      <c r="W113" s="57"/>
      <c r="X113" s="57"/>
      <c r="Y113" s="57"/>
    </row>
    <row r="114" spans="5:25" x14ac:dyDescent="0.25">
      <c r="E114" s="66"/>
      <c r="F114" s="73" t="s">
        <v>236</v>
      </c>
      <c r="G114" s="57"/>
      <c r="H114" s="57"/>
      <c r="I114" s="57"/>
      <c r="J114" s="57"/>
      <c r="K114" s="57"/>
      <c r="L114" s="57"/>
      <c r="M114" s="57"/>
      <c r="N114" s="57"/>
      <c r="O114" s="57"/>
      <c r="P114" s="57"/>
      <c r="Q114" s="57"/>
      <c r="R114" s="57"/>
      <c r="S114" s="57"/>
      <c r="T114" s="57"/>
      <c r="U114" s="57"/>
      <c r="V114" s="57"/>
      <c r="W114" s="57"/>
      <c r="X114" s="57"/>
      <c r="Y114" s="57"/>
    </row>
    <row r="115" spans="5:25" x14ac:dyDescent="0.25">
      <c r="E115" s="66"/>
      <c r="F115" s="73" t="s">
        <v>236</v>
      </c>
      <c r="G115" s="57"/>
      <c r="H115" s="57"/>
      <c r="I115" s="57"/>
      <c r="J115" s="57"/>
      <c r="K115" s="57"/>
      <c r="L115" s="57"/>
      <c r="M115" s="57"/>
      <c r="N115" s="57"/>
      <c r="O115" s="57"/>
      <c r="P115" s="57"/>
      <c r="Q115" s="57"/>
      <c r="R115" s="57"/>
      <c r="S115" s="57"/>
      <c r="T115" s="57"/>
      <c r="U115" s="57"/>
      <c r="V115" s="57"/>
      <c r="W115" s="57"/>
      <c r="X115" s="57"/>
      <c r="Y115" s="57"/>
    </row>
    <row r="116" spans="5:25" x14ac:dyDescent="0.25">
      <c r="E116" s="66"/>
      <c r="F116" s="73" t="s">
        <v>236</v>
      </c>
      <c r="G116" s="57"/>
      <c r="H116" s="57"/>
      <c r="I116" s="57"/>
      <c r="J116" s="57"/>
      <c r="K116" s="57"/>
      <c r="L116" s="57"/>
      <c r="M116" s="57"/>
      <c r="N116" s="57"/>
      <c r="O116" s="57"/>
      <c r="P116" s="57"/>
      <c r="Q116" s="57"/>
      <c r="R116" s="57"/>
      <c r="S116" s="57"/>
      <c r="T116" s="57"/>
      <c r="U116" s="57"/>
      <c r="V116" s="57"/>
      <c r="W116" s="57"/>
      <c r="X116" s="57"/>
      <c r="Y116" s="57"/>
    </row>
    <row r="117" spans="5:25" x14ac:dyDescent="0.25">
      <c r="E117" s="66"/>
      <c r="F117" s="73" t="s">
        <v>236</v>
      </c>
      <c r="G117" s="57"/>
      <c r="H117" s="57"/>
      <c r="I117" s="57"/>
      <c r="J117" s="57"/>
      <c r="K117" s="57"/>
      <c r="L117" s="57"/>
      <c r="M117" s="57"/>
      <c r="N117" s="57"/>
      <c r="O117" s="57"/>
      <c r="P117" s="57"/>
      <c r="Q117" s="57"/>
      <c r="R117" s="57"/>
      <c r="S117" s="57"/>
      <c r="T117" s="57"/>
      <c r="U117" s="57"/>
      <c r="V117" s="57"/>
      <c r="W117" s="57"/>
      <c r="X117" s="57"/>
      <c r="Y117" s="57"/>
    </row>
    <row r="118" spans="5:25" x14ac:dyDescent="0.25">
      <c r="E118" s="66"/>
      <c r="F118" s="73" t="s">
        <v>236</v>
      </c>
      <c r="G118" s="57"/>
      <c r="H118" s="57"/>
      <c r="I118" s="57"/>
      <c r="J118" s="57"/>
      <c r="K118" s="57"/>
      <c r="L118" s="57"/>
      <c r="M118" s="57"/>
      <c r="N118" s="57"/>
      <c r="O118" s="57"/>
      <c r="P118" s="57"/>
      <c r="Q118" s="57"/>
      <c r="R118" s="57"/>
      <c r="S118" s="57"/>
      <c r="T118" s="57"/>
      <c r="U118" s="57"/>
      <c r="V118" s="57"/>
      <c r="W118" s="57"/>
      <c r="X118" s="57"/>
      <c r="Y118" s="57"/>
    </row>
    <row r="119" spans="5:25" x14ac:dyDescent="0.25">
      <c r="E119" s="66"/>
      <c r="F119" s="73" t="s">
        <v>236</v>
      </c>
      <c r="G119" s="57"/>
      <c r="H119" s="57"/>
      <c r="I119" s="57"/>
      <c r="J119" s="57"/>
      <c r="K119" s="57"/>
      <c r="L119" s="57"/>
      <c r="M119" s="57"/>
      <c r="N119" s="57"/>
      <c r="O119" s="57"/>
      <c r="P119" s="57"/>
      <c r="Q119" s="57"/>
      <c r="R119" s="57"/>
      <c r="S119" s="57"/>
      <c r="T119" s="57"/>
      <c r="U119" s="57"/>
      <c r="V119" s="57"/>
      <c r="W119" s="57"/>
      <c r="X119" s="57"/>
      <c r="Y119" s="57"/>
    </row>
    <row r="120" spans="5:25" x14ac:dyDescent="0.25">
      <c r="E120" s="66"/>
      <c r="F120" s="73" t="s">
        <v>236</v>
      </c>
      <c r="G120" s="57"/>
      <c r="H120" s="57"/>
      <c r="I120" s="57"/>
      <c r="J120" s="57"/>
      <c r="K120" s="57"/>
      <c r="L120" s="57"/>
      <c r="M120" s="57"/>
      <c r="N120" s="57"/>
      <c r="O120" s="57"/>
      <c r="P120" s="57"/>
      <c r="Q120" s="57"/>
      <c r="R120" s="57"/>
      <c r="S120" s="57"/>
      <c r="T120" s="57"/>
      <c r="U120" s="57"/>
      <c r="V120" s="57"/>
      <c r="W120" s="57"/>
      <c r="X120" s="57"/>
      <c r="Y120" s="57"/>
    </row>
    <row r="121" spans="5:25" x14ac:dyDescent="0.25">
      <c r="E121" s="66"/>
      <c r="F121" s="73" t="s">
        <v>236</v>
      </c>
      <c r="G121" s="57"/>
      <c r="H121" s="57"/>
      <c r="I121" s="57"/>
      <c r="J121" s="57"/>
      <c r="K121" s="57"/>
      <c r="L121" s="57"/>
      <c r="M121" s="57"/>
      <c r="N121" s="57"/>
      <c r="O121" s="57"/>
      <c r="P121" s="57"/>
      <c r="Q121" s="57"/>
      <c r="R121" s="57"/>
      <c r="S121" s="57"/>
      <c r="T121" s="57"/>
      <c r="U121" s="57"/>
      <c r="V121" s="57"/>
      <c r="W121" s="57"/>
      <c r="X121" s="57"/>
      <c r="Y121" s="57"/>
    </row>
    <row r="122" spans="5:25" x14ac:dyDescent="0.25">
      <c r="E122" s="66"/>
    </row>
    <row r="123" spans="5:25" x14ac:dyDescent="0.25">
      <c r="E123" s="66"/>
      <c r="F123" s="14" t="s">
        <v>447</v>
      </c>
      <c r="G123" s="14"/>
      <c r="H123" s="14"/>
      <c r="I123" s="14"/>
      <c r="J123" s="14"/>
      <c r="K123" s="14"/>
      <c r="L123" s="14"/>
      <c r="M123" s="14"/>
    </row>
    <row r="124" spans="5:25" x14ac:dyDescent="0.25">
      <c r="E124" s="66"/>
      <c r="F124" s="73" t="s">
        <v>236</v>
      </c>
      <c r="G124" s="57"/>
      <c r="H124" s="57"/>
      <c r="I124" s="57"/>
      <c r="J124" s="57"/>
      <c r="K124" s="57"/>
      <c r="L124" s="57"/>
      <c r="M124" s="57"/>
      <c r="N124" s="57"/>
      <c r="O124" s="57"/>
      <c r="P124" s="57"/>
      <c r="Q124" s="57"/>
      <c r="R124" s="57"/>
      <c r="S124" s="57"/>
      <c r="T124" s="57"/>
      <c r="U124" s="57"/>
      <c r="V124" s="57"/>
      <c r="W124" s="57"/>
      <c r="X124" s="57"/>
      <c r="Y124" s="57"/>
    </row>
    <row r="125" spans="5:25" x14ac:dyDescent="0.25">
      <c r="E125" s="66"/>
      <c r="F125" s="73" t="s">
        <v>236</v>
      </c>
      <c r="G125" s="57"/>
      <c r="H125" s="57"/>
      <c r="I125" s="57"/>
      <c r="J125" s="57"/>
      <c r="K125" s="57"/>
      <c r="L125" s="57"/>
      <c r="M125" s="57"/>
      <c r="N125" s="57"/>
      <c r="O125" s="57"/>
      <c r="P125" s="57"/>
      <c r="Q125" s="57"/>
      <c r="R125" s="57"/>
      <c r="S125" s="57"/>
      <c r="T125" s="57"/>
      <c r="U125" s="57"/>
      <c r="V125" s="57"/>
      <c r="W125" s="57"/>
      <c r="X125" s="57"/>
      <c r="Y125" s="57"/>
    </row>
    <row r="126" spans="5:25" x14ac:dyDescent="0.25">
      <c r="E126" s="66"/>
      <c r="F126" s="73" t="s">
        <v>236</v>
      </c>
      <c r="G126" s="57"/>
      <c r="H126" s="57"/>
      <c r="I126" s="57"/>
      <c r="J126" s="57"/>
      <c r="K126" s="57"/>
      <c r="L126" s="57"/>
      <c r="M126" s="57"/>
      <c r="N126" s="57"/>
      <c r="O126" s="57"/>
      <c r="P126" s="57"/>
      <c r="Q126" s="57"/>
      <c r="R126" s="57"/>
      <c r="S126" s="57"/>
      <c r="T126" s="57"/>
      <c r="U126" s="57"/>
      <c r="V126" s="57"/>
      <c r="W126" s="57"/>
      <c r="X126" s="57"/>
      <c r="Y126" s="57"/>
    </row>
    <row r="127" spans="5:25" x14ac:dyDescent="0.25">
      <c r="E127" s="66"/>
      <c r="F127" s="73" t="s">
        <v>236</v>
      </c>
      <c r="G127" s="57"/>
      <c r="H127" s="57"/>
      <c r="I127" s="57"/>
      <c r="J127" s="57"/>
      <c r="K127" s="57"/>
      <c r="L127" s="57"/>
      <c r="M127" s="57"/>
      <c r="N127" s="57"/>
      <c r="O127" s="57"/>
      <c r="P127" s="57"/>
      <c r="Q127" s="57"/>
      <c r="R127" s="57"/>
      <c r="S127" s="57"/>
      <c r="T127" s="57"/>
      <c r="U127" s="57"/>
      <c r="V127" s="57"/>
      <c r="W127" s="57"/>
      <c r="X127" s="57"/>
      <c r="Y127" s="57"/>
    </row>
    <row r="128" spans="5:25" x14ac:dyDescent="0.25">
      <c r="E128" s="66"/>
      <c r="F128" s="73" t="s">
        <v>236</v>
      </c>
      <c r="G128" s="57"/>
      <c r="H128" s="57"/>
      <c r="I128" s="57"/>
      <c r="J128" s="57"/>
      <c r="K128" s="57"/>
      <c r="L128" s="57"/>
      <c r="M128" s="57"/>
      <c r="N128" s="57"/>
      <c r="O128" s="57"/>
      <c r="P128" s="57"/>
      <c r="Q128" s="57"/>
      <c r="R128" s="57"/>
      <c r="S128" s="57"/>
      <c r="T128" s="57"/>
      <c r="U128" s="57"/>
      <c r="V128" s="57"/>
      <c r="W128" s="57"/>
      <c r="X128" s="57"/>
      <c r="Y128" s="57"/>
    </row>
    <row r="129" spans="5:25" x14ac:dyDescent="0.25">
      <c r="E129" s="66"/>
      <c r="F129" s="73" t="s">
        <v>236</v>
      </c>
      <c r="G129" s="57"/>
      <c r="H129" s="57"/>
      <c r="I129" s="57"/>
      <c r="J129" s="57"/>
      <c r="K129" s="57"/>
      <c r="L129" s="57"/>
      <c r="M129" s="57"/>
      <c r="N129" s="57"/>
      <c r="O129" s="57"/>
      <c r="P129" s="57"/>
      <c r="Q129" s="57"/>
      <c r="R129" s="57"/>
      <c r="S129" s="57"/>
      <c r="T129" s="57"/>
      <c r="U129" s="57"/>
      <c r="V129" s="57"/>
      <c r="W129" s="57"/>
      <c r="X129" s="57"/>
      <c r="Y129" s="57"/>
    </row>
    <row r="130" spans="5:25" x14ac:dyDescent="0.25">
      <c r="E130" s="66"/>
      <c r="F130" s="73" t="s">
        <v>236</v>
      </c>
      <c r="G130" s="57"/>
      <c r="H130" s="57"/>
      <c r="I130" s="57"/>
      <c r="J130" s="57"/>
      <c r="K130" s="57"/>
      <c r="L130" s="57"/>
      <c r="M130" s="57"/>
      <c r="N130" s="57"/>
      <c r="O130" s="57"/>
      <c r="P130" s="57"/>
      <c r="Q130" s="57"/>
      <c r="R130" s="57"/>
      <c r="S130" s="57"/>
      <c r="T130" s="57"/>
      <c r="U130" s="57"/>
      <c r="V130" s="57"/>
      <c r="W130" s="57"/>
      <c r="X130" s="57"/>
      <c r="Y130" s="57"/>
    </row>
    <row r="131" spans="5:25" x14ac:dyDescent="0.25">
      <c r="E131" s="66"/>
      <c r="F131" s="73" t="s">
        <v>236</v>
      </c>
      <c r="G131" s="57"/>
      <c r="H131" s="57"/>
      <c r="I131" s="57"/>
      <c r="J131" s="57"/>
      <c r="K131" s="57"/>
      <c r="L131" s="57"/>
      <c r="M131" s="57"/>
      <c r="N131" s="57"/>
      <c r="O131" s="57"/>
      <c r="P131" s="57"/>
      <c r="Q131" s="57"/>
      <c r="R131" s="57"/>
      <c r="S131" s="57"/>
      <c r="T131" s="57"/>
      <c r="U131" s="57"/>
      <c r="V131" s="57"/>
      <c r="W131" s="57"/>
      <c r="X131" s="57"/>
      <c r="Y131" s="57"/>
    </row>
    <row r="132" spans="5:25" x14ac:dyDescent="0.25">
      <c r="E132" s="66"/>
      <c r="F132" s="73" t="s">
        <v>236</v>
      </c>
      <c r="G132" s="57"/>
      <c r="H132" s="57"/>
      <c r="I132" s="57"/>
      <c r="J132" s="57"/>
      <c r="K132" s="57"/>
      <c r="L132" s="57"/>
      <c r="M132" s="57"/>
      <c r="N132" s="57"/>
      <c r="O132" s="57"/>
      <c r="P132" s="57"/>
      <c r="Q132" s="57"/>
      <c r="R132" s="57"/>
      <c r="S132" s="57"/>
      <c r="T132" s="57"/>
      <c r="U132" s="57"/>
      <c r="V132" s="57"/>
      <c r="W132" s="57"/>
      <c r="X132" s="57"/>
      <c r="Y132" s="57"/>
    </row>
  </sheetData>
  <mergeCells count="3">
    <mergeCell ref="B2:C2"/>
    <mergeCell ref="B3:C3"/>
    <mergeCell ref="B4:C4"/>
  </mergeCells>
  <conditionalFormatting sqref="F69">
    <cfRule type="expression" dxfId="14" priority="9">
      <formula>$F$69=""</formula>
    </cfRule>
    <cfRule type="expression" dxfId="13" priority="14">
      <formula>OR($F$71&lt;$F$70,$F$71&gt;$F$72)</formula>
    </cfRule>
    <cfRule type="expression" dxfId="12" priority="15">
      <formula>AND($F$71&gt;=$F$70,$F$71&lt;=$F$72)</formula>
    </cfRule>
  </conditionalFormatting>
  <conditionalFormatting sqref="K69">
    <cfRule type="expression" dxfId="11" priority="7">
      <formula>$K$69=""</formula>
    </cfRule>
    <cfRule type="expression" dxfId="10" priority="10">
      <formula>OR($K$71&lt;$K$70,$K$71&gt;$K$72)</formula>
    </cfRule>
    <cfRule type="expression" dxfId="9" priority="11">
      <formula>AND($K$71&gt;=$K$70,$K$71&lt;=$K$72)</formula>
    </cfRule>
  </conditionalFormatting>
  <conditionalFormatting sqref="O69">
    <cfRule type="expression" dxfId="8" priority="8">
      <formula>$O$69=""</formula>
    </cfRule>
    <cfRule type="expression" dxfId="7" priority="12">
      <formula>OR($O$71&lt;$O$70,$O$71&gt;$O$72)</formula>
    </cfRule>
    <cfRule type="expression" dxfId="6" priority="13">
      <formula>AND($O$71&gt;=$O$70,$O$71&lt;=$O$72)</formula>
    </cfRule>
  </conditionalFormatting>
  <conditionalFormatting sqref="S69">
    <cfRule type="expression" dxfId="5" priority="1">
      <formula>$S$69=""</formula>
    </cfRule>
    <cfRule type="expression" dxfId="4" priority="2">
      <formula>OR($S$71&lt;$S$70,$S$71&gt;$S$72)</formula>
    </cfRule>
    <cfRule type="expression" dxfId="3" priority="3">
      <formula>AND($S$71&gt;=$S$70,$S$71&lt;=$S$72)</formula>
    </cfRule>
  </conditionalFormatting>
  <conditionalFormatting sqref="Y69">
    <cfRule type="expression" dxfId="2" priority="4">
      <formula>$Y$69=""</formula>
    </cfRule>
    <cfRule type="expression" dxfId="1" priority="5">
      <formula>OR($Y$71&lt;$Y$70,$Y$71&gt;$Y$72)</formula>
    </cfRule>
    <cfRule type="expression" dxfId="0" priority="6">
      <formula>AND($Y$71&gt;=$Y$70,$Y$71&lt;=$Y$72)</formula>
    </cfRule>
  </conditionalFormatting>
  <hyperlinks>
    <hyperlink ref="B4" location="'SOE DETAILS'!A1" display="SOE DETAILS" xr:uid="{42F65A25-505C-406B-9D6D-2B1B75C3A36F}"/>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FED9-8BCA-4966-AC57-460834FB11E4}">
  <sheetPr codeName="Sheet35">
    <tabColor theme="9" tint="-0.249977111117893"/>
  </sheetPr>
  <dimension ref="A1:D82"/>
  <sheetViews>
    <sheetView showGridLines="0" workbookViewId="0">
      <selection activeCell="J30" sqref="J30"/>
    </sheetView>
  </sheetViews>
  <sheetFormatPr defaultColWidth="9.21875" defaultRowHeight="14.4" x14ac:dyDescent="0.3"/>
  <cols>
    <col min="1" max="1" width="8" style="1" customWidth="1"/>
    <col min="2" max="2" width="4.44140625" style="326" bestFit="1" customWidth="1"/>
    <col min="3" max="3" width="32.5546875" style="1" bestFit="1" customWidth="1"/>
    <col min="4" max="4" width="55.5546875" style="1" bestFit="1" customWidth="1"/>
    <col min="5" max="16384" width="9.21875" style="1"/>
  </cols>
  <sheetData>
    <row r="1" spans="1:4" s="31" customFormat="1" x14ac:dyDescent="0.3">
      <c r="A1" s="1"/>
      <c r="B1" s="325"/>
    </row>
    <row r="2" spans="1:4" ht="21.75" customHeight="1" x14ac:dyDescent="0.3">
      <c r="C2" s="4" t="s">
        <v>200</v>
      </c>
      <c r="D2" s="4" t="s">
        <v>374</v>
      </c>
    </row>
    <row r="3" spans="1:4" x14ac:dyDescent="0.3">
      <c r="B3" s="327" t="s">
        <v>205</v>
      </c>
      <c r="D3" s="148" t="s">
        <v>301</v>
      </c>
    </row>
    <row r="4" spans="1:4" x14ac:dyDescent="0.3">
      <c r="B4" s="327" t="s">
        <v>206</v>
      </c>
      <c r="C4" s="5" t="s">
        <v>184</v>
      </c>
      <c r="D4" s="1" t="s">
        <v>8</v>
      </c>
    </row>
    <row r="5" spans="1:4" x14ac:dyDescent="0.3">
      <c r="B5" s="327" t="s">
        <v>207</v>
      </c>
      <c r="C5" s="6" t="s">
        <v>372</v>
      </c>
      <c r="D5" s="1" t="s">
        <v>9</v>
      </c>
    </row>
    <row r="6" spans="1:4" x14ac:dyDescent="0.3">
      <c r="B6" s="327" t="s">
        <v>208</v>
      </c>
      <c r="C6" s="5" t="s">
        <v>184</v>
      </c>
      <c r="D6" s="1" t="s">
        <v>10</v>
      </c>
    </row>
    <row r="7" spans="1:4" x14ac:dyDescent="0.3">
      <c r="B7" s="327" t="s">
        <v>209</v>
      </c>
      <c r="C7" s="5" t="s">
        <v>184</v>
      </c>
      <c r="D7" s="1" t="s">
        <v>11</v>
      </c>
    </row>
    <row r="8" spans="1:4" x14ac:dyDescent="0.3">
      <c r="B8" s="327" t="s">
        <v>210</v>
      </c>
      <c r="C8" s="6" t="s">
        <v>372</v>
      </c>
      <c r="D8" s="1" t="s">
        <v>12</v>
      </c>
    </row>
    <row r="9" spans="1:4" x14ac:dyDescent="0.3">
      <c r="B9" s="327" t="s">
        <v>211</v>
      </c>
      <c r="C9" s="6" t="s">
        <v>372</v>
      </c>
      <c r="D9" s="1" t="s">
        <v>13</v>
      </c>
    </row>
    <row r="10" spans="1:4" x14ac:dyDescent="0.3">
      <c r="B10" s="327" t="s">
        <v>212</v>
      </c>
      <c r="C10" s="6" t="s">
        <v>372</v>
      </c>
      <c r="D10" s="1" t="s">
        <v>14</v>
      </c>
    </row>
    <row r="11" spans="1:4" x14ac:dyDescent="0.3">
      <c r="B11" s="327" t="s">
        <v>213</v>
      </c>
      <c r="C11" s="6" t="s">
        <v>372</v>
      </c>
      <c r="D11" s="1" t="s">
        <v>15</v>
      </c>
    </row>
    <row r="12" spans="1:4" x14ac:dyDescent="0.3">
      <c r="B12" s="327" t="s">
        <v>214</v>
      </c>
      <c r="C12" s="6" t="s">
        <v>372</v>
      </c>
      <c r="D12" s="362" t="s">
        <v>16</v>
      </c>
    </row>
    <row r="13" spans="1:4" x14ac:dyDescent="0.3">
      <c r="B13" s="327" t="s">
        <v>291</v>
      </c>
      <c r="C13" s="6" t="s">
        <v>372</v>
      </c>
      <c r="D13" s="1" t="s">
        <v>17</v>
      </c>
    </row>
    <row r="14" spans="1:4" x14ac:dyDescent="0.3">
      <c r="B14" s="327" t="s">
        <v>292</v>
      </c>
      <c r="C14" s="7" t="s">
        <v>373</v>
      </c>
      <c r="D14" s="1" t="s">
        <v>18</v>
      </c>
    </row>
    <row r="15" spans="1:4" x14ac:dyDescent="0.3">
      <c r="B15" s="327" t="s">
        <v>293</v>
      </c>
      <c r="C15" s="6" t="s">
        <v>372</v>
      </c>
      <c r="D15" s="1" t="s">
        <v>19</v>
      </c>
    </row>
    <row r="16" spans="1:4" x14ac:dyDescent="0.3">
      <c r="B16" s="327" t="s">
        <v>294</v>
      </c>
      <c r="C16" s="6" t="s">
        <v>372</v>
      </c>
      <c r="D16" s="1" t="s">
        <v>20</v>
      </c>
    </row>
    <row r="17" spans="2:4" x14ac:dyDescent="0.3">
      <c r="B17" s="327" t="s">
        <v>295</v>
      </c>
      <c r="C17" s="6" t="s">
        <v>372</v>
      </c>
      <c r="D17" s="1" t="s">
        <v>21</v>
      </c>
    </row>
    <row r="18" spans="2:4" x14ac:dyDescent="0.3">
      <c r="B18" s="327" t="s">
        <v>375</v>
      </c>
      <c r="C18" s="5" t="s">
        <v>184</v>
      </c>
      <c r="D18" s="1" t="s">
        <v>22</v>
      </c>
    </row>
    <row r="19" spans="2:4" x14ac:dyDescent="0.3">
      <c r="B19" s="327" t="s">
        <v>376</v>
      </c>
      <c r="C19" s="6" t="s">
        <v>372</v>
      </c>
      <c r="D19" s="1" t="s">
        <v>23</v>
      </c>
    </row>
    <row r="20" spans="2:4" x14ac:dyDescent="0.3">
      <c r="B20" s="327" t="s">
        <v>377</v>
      </c>
      <c r="C20" s="6" t="s">
        <v>372</v>
      </c>
      <c r="D20" s="1" t="s">
        <v>24</v>
      </c>
    </row>
    <row r="21" spans="2:4" x14ac:dyDescent="0.3">
      <c r="B21" s="327" t="s">
        <v>378</v>
      </c>
      <c r="C21" s="7" t="s">
        <v>373</v>
      </c>
      <c r="D21" s="1" t="s">
        <v>25</v>
      </c>
    </row>
    <row r="22" spans="2:4" x14ac:dyDescent="0.3">
      <c r="B22" s="327" t="s">
        <v>379</v>
      </c>
      <c r="C22" s="7" t="s">
        <v>373</v>
      </c>
      <c r="D22" s="1" t="s">
        <v>26</v>
      </c>
    </row>
    <row r="23" spans="2:4" x14ac:dyDescent="0.3">
      <c r="B23" s="327" t="s">
        <v>380</v>
      </c>
      <c r="C23" s="6" t="s">
        <v>372</v>
      </c>
      <c r="D23" s="1" t="s">
        <v>27</v>
      </c>
    </row>
    <row r="24" spans="2:4" x14ac:dyDescent="0.3">
      <c r="B24" s="327" t="s">
        <v>381</v>
      </c>
      <c r="C24" s="5" t="s">
        <v>184</v>
      </c>
      <c r="D24" s="1" t="s">
        <v>28</v>
      </c>
    </row>
    <row r="25" spans="2:4" x14ac:dyDescent="0.3">
      <c r="B25" s="327" t="s">
        <v>382</v>
      </c>
      <c r="C25" s="6" t="s">
        <v>372</v>
      </c>
      <c r="D25" s="1" t="s">
        <v>29</v>
      </c>
    </row>
    <row r="26" spans="2:4" x14ac:dyDescent="0.3">
      <c r="B26" s="327" t="s">
        <v>383</v>
      </c>
      <c r="C26" s="5" t="s">
        <v>184</v>
      </c>
      <c r="D26" s="1" t="s">
        <v>30</v>
      </c>
    </row>
    <row r="27" spans="2:4" x14ac:dyDescent="0.3">
      <c r="B27" s="327" t="s">
        <v>384</v>
      </c>
      <c r="C27" s="5" t="s">
        <v>184</v>
      </c>
      <c r="D27" s="1" t="s">
        <v>31</v>
      </c>
    </row>
    <row r="28" spans="2:4" x14ac:dyDescent="0.3">
      <c r="B28" s="327" t="s">
        <v>385</v>
      </c>
      <c r="C28" s="7" t="s">
        <v>373</v>
      </c>
      <c r="D28" s="1" t="s">
        <v>32</v>
      </c>
    </row>
    <row r="29" spans="2:4" x14ac:dyDescent="0.3">
      <c r="B29" s="327" t="s">
        <v>386</v>
      </c>
      <c r="C29" s="5" t="s">
        <v>184</v>
      </c>
      <c r="D29" s="363" t="s">
        <v>33</v>
      </c>
    </row>
    <row r="30" spans="2:4" x14ac:dyDescent="0.3">
      <c r="B30" s="327" t="s">
        <v>387</v>
      </c>
      <c r="C30" s="6" t="s">
        <v>372</v>
      </c>
      <c r="D30" s="1" t="s">
        <v>34</v>
      </c>
    </row>
    <row r="31" spans="2:4" x14ac:dyDescent="0.3">
      <c r="B31" s="327" t="s">
        <v>388</v>
      </c>
      <c r="C31" s="7" t="s">
        <v>373</v>
      </c>
      <c r="D31" s="1" t="s">
        <v>35</v>
      </c>
    </row>
    <row r="32" spans="2:4" x14ac:dyDescent="0.3">
      <c r="B32" s="327" t="s">
        <v>389</v>
      </c>
      <c r="C32" s="6" t="s">
        <v>372</v>
      </c>
      <c r="D32" s="1" t="s">
        <v>36</v>
      </c>
    </row>
    <row r="33" spans="2:4" x14ac:dyDescent="0.3">
      <c r="B33" s="327" t="s">
        <v>390</v>
      </c>
      <c r="C33" s="5" t="s">
        <v>184</v>
      </c>
      <c r="D33" s="1" t="s">
        <v>37</v>
      </c>
    </row>
    <row r="34" spans="2:4" x14ac:dyDescent="0.3">
      <c r="B34" s="327" t="s">
        <v>391</v>
      </c>
      <c r="C34" s="6" t="s">
        <v>372</v>
      </c>
      <c r="D34" s="1" t="s">
        <v>38</v>
      </c>
    </row>
    <row r="35" spans="2:4" x14ac:dyDescent="0.3">
      <c r="B35" s="327" t="s">
        <v>392</v>
      </c>
      <c r="C35" s="7" t="s">
        <v>373</v>
      </c>
      <c r="D35" s="1" t="s">
        <v>39</v>
      </c>
    </row>
    <row r="36" spans="2:4" x14ac:dyDescent="0.3">
      <c r="B36" s="327" t="s">
        <v>393</v>
      </c>
      <c r="C36" s="6" t="s">
        <v>372</v>
      </c>
      <c r="D36" s="1" t="s">
        <v>40</v>
      </c>
    </row>
    <row r="37" spans="2:4" x14ac:dyDescent="0.3">
      <c r="B37" s="327" t="s">
        <v>394</v>
      </c>
      <c r="C37" s="6" t="s">
        <v>372</v>
      </c>
      <c r="D37" s="1" t="s">
        <v>41</v>
      </c>
    </row>
    <row r="38" spans="2:4" x14ac:dyDescent="0.3">
      <c r="B38" s="327" t="s">
        <v>395</v>
      </c>
      <c r="C38" s="5" t="s">
        <v>184</v>
      </c>
      <c r="D38" s="1" t="s">
        <v>42</v>
      </c>
    </row>
    <row r="39" spans="2:4" x14ac:dyDescent="0.3">
      <c r="B39" s="327" t="s">
        <v>396</v>
      </c>
      <c r="C39" s="6" t="s">
        <v>372</v>
      </c>
      <c r="D39" s="1" t="s">
        <v>43</v>
      </c>
    </row>
    <row r="40" spans="2:4" x14ac:dyDescent="0.3">
      <c r="B40" s="327" t="s">
        <v>397</v>
      </c>
      <c r="C40" s="6" t="s">
        <v>372</v>
      </c>
      <c r="D40" s="1" t="s">
        <v>44</v>
      </c>
    </row>
    <row r="41" spans="2:4" x14ac:dyDescent="0.3">
      <c r="B41" s="327" t="s">
        <v>398</v>
      </c>
      <c r="C41" s="6" t="s">
        <v>372</v>
      </c>
      <c r="D41" s="1" t="s">
        <v>45</v>
      </c>
    </row>
    <row r="42" spans="2:4" x14ac:dyDescent="0.3">
      <c r="B42" s="327" t="s">
        <v>399</v>
      </c>
      <c r="C42" s="6" t="s">
        <v>372</v>
      </c>
      <c r="D42" s="1" t="s">
        <v>46</v>
      </c>
    </row>
    <row r="43" spans="2:4" x14ac:dyDescent="0.3">
      <c r="B43" s="327" t="s">
        <v>400</v>
      </c>
      <c r="C43" s="6" t="s">
        <v>372</v>
      </c>
      <c r="D43" s="1" t="s">
        <v>47</v>
      </c>
    </row>
    <row r="44" spans="2:4" x14ac:dyDescent="0.3">
      <c r="B44" s="327" t="s">
        <v>401</v>
      </c>
      <c r="C44" s="5" t="s">
        <v>184</v>
      </c>
      <c r="D44" s="1" t="s">
        <v>48</v>
      </c>
    </row>
    <row r="45" spans="2:4" x14ac:dyDescent="0.3">
      <c r="B45" s="327" t="s">
        <v>402</v>
      </c>
      <c r="C45" s="5" t="s">
        <v>184</v>
      </c>
      <c r="D45" s="1" t="s">
        <v>49</v>
      </c>
    </row>
    <row r="46" spans="2:4" x14ac:dyDescent="0.3">
      <c r="B46" s="327" t="s">
        <v>403</v>
      </c>
      <c r="C46" s="5" t="s">
        <v>184</v>
      </c>
      <c r="D46" s="363" t="s">
        <v>50</v>
      </c>
    </row>
    <row r="47" spans="2:4" x14ac:dyDescent="0.3">
      <c r="B47" s="327" t="s">
        <v>404</v>
      </c>
      <c r="C47" s="6" t="s">
        <v>372</v>
      </c>
      <c r="D47" s="1" t="s">
        <v>51</v>
      </c>
    </row>
    <row r="48" spans="2:4" x14ac:dyDescent="0.3">
      <c r="B48" s="327" t="s">
        <v>405</v>
      </c>
      <c r="C48" s="5" t="s">
        <v>184</v>
      </c>
      <c r="D48" s="1" t="s">
        <v>52</v>
      </c>
    </row>
    <row r="49" spans="2:4" x14ac:dyDescent="0.3">
      <c r="B49" s="327" t="s">
        <v>406</v>
      </c>
      <c r="C49" s="5" t="s">
        <v>184</v>
      </c>
      <c r="D49" s="1" t="s">
        <v>53</v>
      </c>
    </row>
    <row r="50" spans="2:4" x14ac:dyDescent="0.3">
      <c r="B50" s="327" t="s">
        <v>407</v>
      </c>
      <c r="C50" s="5" t="s">
        <v>184</v>
      </c>
      <c r="D50" s="1" t="s">
        <v>54</v>
      </c>
    </row>
    <row r="51" spans="2:4" x14ac:dyDescent="0.3">
      <c r="B51" s="327" t="s">
        <v>408</v>
      </c>
      <c r="C51" s="6" t="s">
        <v>372</v>
      </c>
      <c r="D51" s="1" t="s">
        <v>55</v>
      </c>
    </row>
    <row r="52" spans="2:4" x14ac:dyDescent="0.3">
      <c r="B52" s="327" t="s">
        <v>409</v>
      </c>
      <c r="C52" s="6" t="s">
        <v>372</v>
      </c>
      <c r="D52" s="1" t="s">
        <v>56</v>
      </c>
    </row>
    <row r="53" spans="2:4" x14ac:dyDescent="0.3">
      <c r="B53" s="327" t="s">
        <v>410</v>
      </c>
      <c r="C53" s="6" t="s">
        <v>372</v>
      </c>
      <c r="D53" s="1" t="s">
        <v>57</v>
      </c>
    </row>
    <row r="54" spans="2:4" x14ac:dyDescent="0.3">
      <c r="B54" s="327" t="s">
        <v>411</v>
      </c>
      <c r="C54" s="5" t="s">
        <v>184</v>
      </c>
      <c r="D54" s="1" t="s">
        <v>58</v>
      </c>
    </row>
    <row r="55" spans="2:4" x14ac:dyDescent="0.3">
      <c r="B55" s="327" t="s">
        <v>412</v>
      </c>
      <c r="C55" s="6" t="s">
        <v>372</v>
      </c>
      <c r="D55" s="1" t="s">
        <v>59</v>
      </c>
    </row>
    <row r="56" spans="2:4" x14ac:dyDescent="0.3">
      <c r="B56" s="327" t="s">
        <v>413</v>
      </c>
      <c r="C56" s="6" t="s">
        <v>372</v>
      </c>
      <c r="D56" s="1" t="s">
        <v>60</v>
      </c>
    </row>
    <row r="57" spans="2:4" x14ac:dyDescent="0.3">
      <c r="B57" s="327" t="s">
        <v>414</v>
      </c>
      <c r="C57" s="7" t="s">
        <v>373</v>
      </c>
      <c r="D57" s="1" t="s">
        <v>61</v>
      </c>
    </row>
    <row r="58" spans="2:4" x14ac:dyDescent="0.3">
      <c r="B58" s="327" t="s">
        <v>415</v>
      </c>
      <c r="C58" s="6" t="s">
        <v>372</v>
      </c>
      <c r="D58" s="1" t="s">
        <v>62</v>
      </c>
    </row>
    <row r="59" spans="2:4" x14ac:dyDescent="0.3">
      <c r="B59" s="327" t="s">
        <v>416</v>
      </c>
      <c r="C59" s="6" t="s">
        <v>372</v>
      </c>
      <c r="D59" s="1" t="s">
        <v>63</v>
      </c>
    </row>
    <row r="60" spans="2:4" x14ac:dyDescent="0.3">
      <c r="B60" s="327" t="s">
        <v>417</v>
      </c>
      <c r="C60" s="6" t="s">
        <v>372</v>
      </c>
      <c r="D60" s="1" t="s">
        <v>64</v>
      </c>
    </row>
    <row r="61" spans="2:4" x14ac:dyDescent="0.3">
      <c r="B61" s="327" t="s">
        <v>418</v>
      </c>
      <c r="C61" s="6" t="s">
        <v>372</v>
      </c>
      <c r="D61" s="1" t="s">
        <v>65</v>
      </c>
    </row>
    <row r="62" spans="2:4" x14ac:dyDescent="0.3">
      <c r="B62" s="327" t="s">
        <v>419</v>
      </c>
      <c r="C62" s="6" t="s">
        <v>372</v>
      </c>
      <c r="D62" s="1" t="s">
        <v>66</v>
      </c>
    </row>
    <row r="63" spans="2:4" x14ac:dyDescent="0.3">
      <c r="B63" s="327" t="s">
        <v>420</v>
      </c>
      <c r="C63" s="6" t="s">
        <v>372</v>
      </c>
      <c r="D63" s="1" t="s">
        <v>67</v>
      </c>
    </row>
    <row r="64" spans="2:4" x14ac:dyDescent="0.3">
      <c r="B64" s="327" t="s">
        <v>421</v>
      </c>
      <c r="C64" s="6" t="s">
        <v>372</v>
      </c>
      <c r="D64" s="1" t="s">
        <v>68</v>
      </c>
    </row>
    <row r="65" spans="2:4" x14ac:dyDescent="0.3">
      <c r="B65" s="327" t="s">
        <v>422</v>
      </c>
      <c r="C65" s="6" t="s">
        <v>372</v>
      </c>
      <c r="D65" s="1" t="s">
        <v>69</v>
      </c>
    </row>
    <row r="66" spans="2:4" x14ac:dyDescent="0.3">
      <c r="B66" s="327" t="s">
        <v>423</v>
      </c>
      <c r="C66" s="5" t="s">
        <v>184</v>
      </c>
      <c r="D66" s="1" t="s">
        <v>70</v>
      </c>
    </row>
    <row r="67" spans="2:4" x14ac:dyDescent="0.3">
      <c r="B67" s="327" t="s">
        <v>424</v>
      </c>
      <c r="C67" s="6" t="s">
        <v>372</v>
      </c>
      <c r="D67" s="1" t="s">
        <v>71</v>
      </c>
    </row>
    <row r="68" spans="2:4" x14ac:dyDescent="0.3">
      <c r="B68" s="327" t="s">
        <v>425</v>
      </c>
      <c r="C68" s="6" t="s">
        <v>372</v>
      </c>
      <c r="D68" s="1" t="s">
        <v>72</v>
      </c>
    </row>
    <row r="69" spans="2:4" x14ac:dyDescent="0.3">
      <c r="B69" s="327" t="s">
        <v>426</v>
      </c>
      <c r="C69" s="7" t="s">
        <v>373</v>
      </c>
      <c r="D69" s="1" t="s">
        <v>73</v>
      </c>
    </row>
    <row r="70" spans="2:4" x14ac:dyDescent="0.3">
      <c r="B70" s="327" t="s">
        <v>427</v>
      </c>
      <c r="C70" s="7" t="s">
        <v>373</v>
      </c>
      <c r="D70" s="362" t="s">
        <v>74</v>
      </c>
    </row>
    <row r="71" spans="2:4" x14ac:dyDescent="0.3">
      <c r="B71" s="327" t="s">
        <v>428</v>
      </c>
      <c r="C71" s="5" t="s">
        <v>184</v>
      </c>
      <c r="D71" s="1" t="s">
        <v>75</v>
      </c>
    </row>
    <row r="72" spans="2:4" x14ac:dyDescent="0.3">
      <c r="B72" s="327" t="s">
        <v>429</v>
      </c>
      <c r="C72" s="6" t="s">
        <v>372</v>
      </c>
      <c r="D72" s="1" t="s">
        <v>76</v>
      </c>
    </row>
    <row r="73" spans="2:4" x14ac:dyDescent="0.3">
      <c r="B73" s="327" t="s">
        <v>430</v>
      </c>
      <c r="C73" s="7" t="s">
        <v>373</v>
      </c>
      <c r="D73" s="1" t="s">
        <v>77</v>
      </c>
    </row>
    <row r="74" spans="2:4" x14ac:dyDescent="0.3">
      <c r="B74" s="327" t="s">
        <v>431</v>
      </c>
      <c r="C74" s="5" t="s">
        <v>184</v>
      </c>
      <c r="D74" s="1" t="s">
        <v>78</v>
      </c>
    </row>
    <row r="75" spans="2:4" x14ac:dyDescent="0.3">
      <c r="B75" s="327" t="s">
        <v>432</v>
      </c>
      <c r="C75" s="6" t="s">
        <v>372</v>
      </c>
      <c r="D75" s="1" t="s">
        <v>79</v>
      </c>
    </row>
    <row r="76" spans="2:4" x14ac:dyDescent="0.3">
      <c r="B76" s="327" t="s">
        <v>433</v>
      </c>
      <c r="C76" s="6" t="s">
        <v>372</v>
      </c>
      <c r="D76" s="1" t="s">
        <v>80</v>
      </c>
    </row>
    <row r="77" spans="2:4" x14ac:dyDescent="0.3">
      <c r="B77" s="327" t="s">
        <v>434</v>
      </c>
      <c r="C77" s="6" t="s">
        <v>372</v>
      </c>
      <c r="D77" s="1" t="s">
        <v>81</v>
      </c>
    </row>
    <row r="78" spans="2:4" x14ac:dyDescent="0.3">
      <c r="B78" s="327" t="s">
        <v>435</v>
      </c>
      <c r="C78" s="6" t="s">
        <v>372</v>
      </c>
      <c r="D78" s="1" t="s">
        <v>82</v>
      </c>
    </row>
    <row r="79" spans="2:4" x14ac:dyDescent="0.3">
      <c r="B79" s="327" t="s">
        <v>436</v>
      </c>
      <c r="C79" s="7" t="s">
        <v>373</v>
      </c>
      <c r="D79" s="1" t="s">
        <v>83</v>
      </c>
    </row>
    <row r="80" spans="2:4" x14ac:dyDescent="0.3">
      <c r="B80" s="327" t="s">
        <v>437</v>
      </c>
      <c r="C80" s="6" t="s">
        <v>372</v>
      </c>
      <c r="D80" s="1" t="s">
        <v>84</v>
      </c>
    </row>
    <row r="81" spans="2:4" x14ac:dyDescent="0.3">
      <c r="B81" s="327" t="s">
        <v>438</v>
      </c>
      <c r="C81" s="6" t="s">
        <v>372</v>
      </c>
      <c r="D81" s="1" t="s">
        <v>85</v>
      </c>
    </row>
    <row r="82" spans="2:4" x14ac:dyDescent="0.3">
      <c r="C82" s="6" t="s">
        <v>372</v>
      </c>
      <c r="D82" s="1" t="s">
        <v>86</v>
      </c>
    </row>
  </sheetData>
  <autoFilter ref="C2:D82" xr:uid="{65F7943A-325E-4E21-8B1A-D6E470B0B486}">
    <sortState xmlns:xlrd2="http://schemas.microsoft.com/office/spreadsheetml/2017/richdata2" ref="C3:D82">
      <sortCondition ref="D2"/>
    </sortState>
  </autoFilter>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sheetPr>
  <dimension ref="B1:AO111"/>
  <sheetViews>
    <sheetView showGridLines="0" zoomScale="85" zoomScaleNormal="85" workbookViewId="0"/>
  </sheetViews>
  <sheetFormatPr defaultColWidth="9.21875" defaultRowHeight="13.8" x14ac:dyDescent="0.3"/>
  <cols>
    <col min="1" max="1" width="1.5546875" style="14" customWidth="1"/>
    <col min="2" max="3" width="7.33203125" style="27" customWidth="1"/>
    <col min="4" max="4" width="1.77734375" style="14" customWidth="1"/>
    <col min="5" max="5" width="1.5546875" style="63" customWidth="1"/>
    <col min="6" max="6" width="60.21875" style="25" customWidth="1"/>
    <col min="7" max="7" width="35.77734375" style="14" customWidth="1"/>
    <col min="8" max="9" width="1.77734375" style="14" customWidth="1"/>
    <col min="10" max="10" width="55.21875" style="14" customWidth="1"/>
    <col min="11" max="11" width="14.77734375" style="14" customWidth="1"/>
    <col min="12" max="15" width="11.77734375" style="14" customWidth="1"/>
    <col min="16" max="16" width="15.21875" style="14" customWidth="1"/>
    <col min="17" max="17" width="21.33203125" style="14" customWidth="1"/>
    <col min="18" max="18" width="14" style="14" customWidth="1"/>
    <col min="19" max="21" width="11.77734375" style="14" customWidth="1"/>
    <col min="22" max="22" width="15.21875" style="14" customWidth="1"/>
    <col min="23" max="23" width="1.77734375" style="14" customWidth="1"/>
    <col min="24" max="24" width="1.5546875" style="63" customWidth="1"/>
    <col min="25" max="25" width="15" style="235" bestFit="1" customWidth="1"/>
    <col min="26" max="26" width="17.77734375" style="235" bestFit="1" customWidth="1"/>
    <col min="27" max="27" width="32.5546875" style="235" bestFit="1" customWidth="1"/>
    <col min="28" max="28" width="17.77734375" style="356" bestFit="1" customWidth="1"/>
    <col min="29" max="29" width="30" style="235" bestFit="1" customWidth="1"/>
    <col min="30" max="30" width="15" style="235" bestFit="1" customWidth="1"/>
    <col min="31" max="31" width="38.77734375" style="235" bestFit="1" customWidth="1"/>
    <col min="32" max="32" width="21.5546875" style="235" bestFit="1" customWidth="1"/>
    <col min="33" max="33" width="17.77734375" style="235" customWidth="1"/>
    <col min="34" max="41" width="9.21875" style="217"/>
    <col min="42" max="16384" width="9.21875" style="14"/>
  </cols>
  <sheetData>
    <row r="1" spans="2:33" x14ac:dyDescent="0.3">
      <c r="F1" s="64"/>
      <c r="G1" s="65"/>
      <c r="H1" s="65"/>
      <c r="I1" s="65"/>
      <c r="J1" s="65"/>
      <c r="K1" s="65"/>
      <c r="L1" s="65"/>
      <c r="M1" s="65"/>
      <c r="N1" s="65"/>
      <c r="O1" s="64"/>
      <c r="P1" s="64"/>
      <c r="Q1" s="64"/>
      <c r="R1" s="64"/>
      <c r="S1" s="64"/>
      <c r="T1" s="64"/>
      <c r="U1" s="64"/>
      <c r="V1" s="64"/>
    </row>
    <row r="2" spans="2:33" x14ac:dyDescent="0.3">
      <c r="B2" s="374" t="s">
        <v>457</v>
      </c>
      <c r="C2" s="374"/>
    </row>
    <row r="3" spans="2:33" ht="14.4" x14ac:dyDescent="0.3">
      <c r="B3" s="375" t="s">
        <v>458</v>
      </c>
      <c r="C3" s="375"/>
      <c r="F3" s="199" t="s">
        <v>595</v>
      </c>
      <c r="G3" s="30"/>
      <c r="J3" s="199" t="s">
        <v>472</v>
      </c>
      <c r="K3" s="68"/>
      <c r="L3" s="68"/>
      <c r="M3" s="68"/>
      <c r="N3" s="68"/>
    </row>
    <row r="4" spans="2:33" x14ac:dyDescent="0.25">
      <c r="B4" s="377" t="s">
        <v>464</v>
      </c>
      <c r="C4" s="377"/>
    </row>
    <row r="5" spans="2:33" x14ac:dyDescent="0.25">
      <c r="B5" s="378" t="s">
        <v>593</v>
      </c>
      <c r="C5" s="378"/>
      <c r="F5" s="204" t="s">
        <v>483</v>
      </c>
      <c r="G5" s="204"/>
      <c r="J5" s="203" t="s">
        <v>484</v>
      </c>
      <c r="K5" s="202"/>
      <c r="L5" s="202"/>
      <c r="M5" s="202"/>
      <c r="N5" s="202"/>
      <c r="O5" s="202"/>
      <c r="P5" s="202"/>
      <c r="Q5" s="202"/>
      <c r="R5" s="202"/>
      <c r="S5" s="202"/>
      <c r="T5" s="202"/>
      <c r="U5" s="202"/>
      <c r="V5" s="202"/>
      <c r="Y5" s="357" t="s">
        <v>175</v>
      </c>
      <c r="Z5" s="357" t="s">
        <v>181</v>
      </c>
      <c r="AA5" s="357" t="s">
        <v>184</v>
      </c>
      <c r="AB5" s="357" t="s">
        <v>181</v>
      </c>
      <c r="AC5" s="357" t="s">
        <v>197</v>
      </c>
      <c r="AD5" s="356" t="s">
        <v>0</v>
      </c>
      <c r="AE5" s="235" t="s">
        <v>87</v>
      </c>
      <c r="AF5" s="235" t="s">
        <v>264</v>
      </c>
      <c r="AG5" s="235" t="s">
        <v>319</v>
      </c>
    </row>
    <row r="6" spans="2:33" ht="17.25" customHeight="1" x14ac:dyDescent="0.3">
      <c r="B6" s="376" t="s">
        <v>459</v>
      </c>
      <c r="C6" s="376"/>
      <c r="J6" s="25"/>
      <c r="Y6" s="357" t="s">
        <v>176</v>
      </c>
      <c r="Z6" s="357" t="s">
        <v>182</v>
      </c>
      <c r="AA6" s="357" t="s">
        <v>187</v>
      </c>
      <c r="AB6" s="357" t="s">
        <v>182</v>
      </c>
      <c r="AC6" s="357" t="s">
        <v>198</v>
      </c>
      <c r="AD6" s="356" t="s">
        <v>1</v>
      </c>
      <c r="AE6" s="235" t="s">
        <v>88</v>
      </c>
      <c r="AF6" s="235" t="s">
        <v>265</v>
      </c>
      <c r="AG6" s="235" t="s">
        <v>320</v>
      </c>
    </row>
    <row r="7" spans="2:33" ht="23.25" customHeight="1" x14ac:dyDescent="0.25">
      <c r="B7" s="373" t="s">
        <v>594</v>
      </c>
      <c r="C7" s="373"/>
      <c r="I7" s="15"/>
      <c r="O7" s="28"/>
      <c r="Y7" s="235" t="s">
        <v>301</v>
      </c>
      <c r="Z7" s="357" t="s">
        <v>183</v>
      </c>
      <c r="AA7" s="357" t="s">
        <v>186</v>
      </c>
      <c r="AB7" s="357" t="s">
        <v>190</v>
      </c>
      <c r="AC7" s="357" t="s">
        <v>199</v>
      </c>
      <c r="AD7" s="356" t="s">
        <v>2</v>
      </c>
      <c r="AE7" s="235" t="s">
        <v>89</v>
      </c>
      <c r="AF7" s="235" t="s">
        <v>266</v>
      </c>
      <c r="AG7" s="235" t="s">
        <v>301</v>
      </c>
    </row>
    <row r="8" spans="2:33" ht="46.5" customHeight="1" x14ac:dyDescent="0.3">
      <c r="B8" s="369"/>
      <c r="C8" s="369"/>
      <c r="I8" s="15"/>
      <c r="J8" s="25"/>
      <c r="K8" s="8" t="s">
        <v>507</v>
      </c>
      <c r="L8" s="27" t="s">
        <v>347</v>
      </c>
      <c r="M8" s="27" t="s">
        <v>348</v>
      </c>
      <c r="N8" s="27" t="s">
        <v>349</v>
      </c>
      <c r="P8" s="380" t="s">
        <v>508</v>
      </c>
      <c r="Q8" s="381"/>
      <c r="R8" s="250" t="s">
        <v>507</v>
      </c>
      <c r="S8" s="27" t="s">
        <v>347</v>
      </c>
      <c r="T8" s="27" t="s">
        <v>348</v>
      </c>
      <c r="U8" s="27" t="s">
        <v>349</v>
      </c>
      <c r="Y8" s="356"/>
      <c r="Z8" s="235" t="s">
        <v>301</v>
      </c>
      <c r="AA8" s="356"/>
      <c r="AB8" s="235" t="s">
        <v>301</v>
      </c>
      <c r="AD8" s="356" t="s">
        <v>3</v>
      </c>
      <c r="AE8" s="235" t="s">
        <v>90</v>
      </c>
      <c r="AF8" s="235" t="s">
        <v>267</v>
      </c>
    </row>
    <row r="9" spans="2:33" x14ac:dyDescent="0.3">
      <c r="B9" s="382"/>
      <c r="C9" s="382"/>
      <c r="F9" s="25" t="s">
        <v>473</v>
      </c>
      <c r="G9" s="30"/>
      <c r="I9" s="15"/>
      <c r="J9" s="25" t="s">
        <v>495</v>
      </c>
      <c r="K9" s="355"/>
      <c r="L9" s="355"/>
      <c r="M9" s="355"/>
      <c r="N9" s="355"/>
      <c r="P9" s="252"/>
      <c r="Q9" s="251" t="s">
        <v>601</v>
      </c>
      <c r="R9" s="355"/>
      <c r="S9" s="355"/>
      <c r="T9" s="355"/>
      <c r="U9" s="355"/>
      <c r="AB9" s="235"/>
      <c r="AD9" s="356" t="s">
        <v>4</v>
      </c>
      <c r="AE9" s="235" t="s">
        <v>91</v>
      </c>
      <c r="AF9" s="235" t="s">
        <v>268</v>
      </c>
    </row>
    <row r="10" spans="2:33" x14ac:dyDescent="0.3">
      <c r="B10" s="370"/>
      <c r="C10" s="371"/>
      <c r="F10" s="25" t="s">
        <v>474</v>
      </c>
      <c r="G10" s="30"/>
      <c r="I10" s="15"/>
      <c r="J10" s="25" t="s">
        <v>599</v>
      </c>
      <c r="K10" s="355"/>
      <c r="L10" s="355"/>
      <c r="M10" s="355"/>
      <c r="N10" s="355"/>
      <c r="P10" s="252"/>
      <c r="Q10" s="251" t="s">
        <v>602</v>
      </c>
      <c r="R10" s="355"/>
      <c r="S10" s="355"/>
      <c r="T10" s="355"/>
      <c r="U10" s="355"/>
      <c r="AB10" s="235"/>
      <c r="AD10" s="356" t="s">
        <v>5</v>
      </c>
      <c r="AE10" s="235" t="s">
        <v>92</v>
      </c>
      <c r="AF10" s="235" t="s">
        <v>269</v>
      </c>
    </row>
    <row r="11" spans="2:33" ht="15" customHeight="1" x14ac:dyDescent="0.3">
      <c r="B11" s="370"/>
      <c r="C11" s="371"/>
      <c r="F11" s="9" t="s">
        <v>475</v>
      </c>
      <c r="G11" s="30"/>
      <c r="I11" s="15"/>
      <c r="J11" s="25" t="s">
        <v>500</v>
      </c>
      <c r="K11" s="355"/>
      <c r="L11" s="355"/>
      <c r="M11" s="355"/>
      <c r="N11" s="355"/>
      <c r="P11" s="252"/>
      <c r="Q11" s="251" t="s">
        <v>603</v>
      </c>
      <c r="R11" s="355"/>
      <c r="S11" s="355"/>
      <c r="T11" s="355"/>
      <c r="U11" s="355"/>
      <c r="AB11" s="235"/>
      <c r="AD11" s="356" t="s">
        <v>6</v>
      </c>
      <c r="AE11" s="235" t="s">
        <v>93</v>
      </c>
      <c r="AF11" s="235" t="s">
        <v>301</v>
      </c>
    </row>
    <row r="12" spans="2:33" x14ac:dyDescent="0.3">
      <c r="B12" s="371"/>
      <c r="C12" s="371"/>
      <c r="F12" s="9" t="s">
        <v>476</v>
      </c>
      <c r="G12" s="30"/>
      <c r="I12" s="15"/>
      <c r="J12" s="25" t="s">
        <v>501</v>
      </c>
      <c r="K12" s="355"/>
      <c r="L12" s="355"/>
      <c r="M12" s="355"/>
      <c r="N12" s="355"/>
      <c r="P12" s="252"/>
      <c r="AB12" s="235"/>
      <c r="AD12" s="356" t="s">
        <v>7</v>
      </c>
      <c r="AE12" s="235" t="s">
        <v>94</v>
      </c>
    </row>
    <row r="13" spans="2:33" x14ac:dyDescent="0.3">
      <c r="B13" s="370"/>
      <c r="C13" s="371"/>
      <c r="F13" s="25" t="s">
        <v>477</v>
      </c>
      <c r="G13" s="30"/>
      <c r="I13" s="15"/>
      <c r="J13" s="25" t="s">
        <v>583</v>
      </c>
      <c r="K13" s="123"/>
      <c r="L13" s="123"/>
      <c r="M13" s="123"/>
      <c r="N13" s="123"/>
      <c r="P13" s="252"/>
      <c r="Q13" s="251" t="s">
        <v>604</v>
      </c>
      <c r="R13" s="258"/>
      <c r="S13" s="258"/>
      <c r="T13" s="258"/>
      <c r="U13" s="258"/>
      <c r="AB13" s="235"/>
      <c r="AD13" s="235" t="s">
        <v>301</v>
      </c>
      <c r="AE13" s="235" t="s">
        <v>95</v>
      </c>
    </row>
    <row r="14" spans="2:33" x14ac:dyDescent="0.3">
      <c r="B14" s="370"/>
      <c r="C14" s="371"/>
      <c r="F14" s="25" t="s">
        <v>478</v>
      </c>
      <c r="G14" s="30"/>
      <c r="I14" s="15"/>
      <c r="J14" s="25" t="s">
        <v>584</v>
      </c>
      <c r="K14" s="258"/>
      <c r="L14" s="258"/>
      <c r="M14" s="258"/>
      <c r="N14" s="258"/>
      <c r="P14" s="252"/>
      <c r="Q14" s="251" t="s">
        <v>605</v>
      </c>
      <c r="R14" s="258"/>
      <c r="S14" s="258"/>
      <c r="T14" s="258"/>
      <c r="U14" s="258"/>
      <c r="AB14" s="235"/>
      <c r="AD14" s="356"/>
      <c r="AE14" s="235" t="s">
        <v>96</v>
      </c>
    </row>
    <row r="15" spans="2:33" ht="14.25" customHeight="1" x14ac:dyDescent="0.3">
      <c r="B15" s="383"/>
      <c r="C15" s="383"/>
      <c r="I15" s="15"/>
      <c r="J15" s="25" t="s">
        <v>502</v>
      </c>
      <c r="K15" s="32"/>
      <c r="L15" s="32"/>
      <c r="M15" s="32"/>
      <c r="N15" s="32"/>
      <c r="P15" s="253"/>
      <c r="Q15" s="251" t="s">
        <v>606</v>
      </c>
      <c r="R15" s="258"/>
      <c r="S15" s="258"/>
      <c r="T15" s="258"/>
      <c r="U15" s="258"/>
      <c r="AB15" s="235"/>
      <c r="AD15" s="356"/>
      <c r="AE15" s="235" t="s">
        <v>97</v>
      </c>
    </row>
    <row r="16" spans="2:33" x14ac:dyDescent="0.3">
      <c r="B16" s="370"/>
      <c r="C16" s="371"/>
      <c r="I16" s="15"/>
      <c r="AB16" s="235"/>
      <c r="AD16" s="356"/>
      <c r="AE16" s="235" t="s">
        <v>98</v>
      </c>
    </row>
    <row r="17" spans="2:31" ht="15" customHeight="1" x14ac:dyDescent="0.3">
      <c r="B17" s="370"/>
      <c r="C17" s="371"/>
      <c r="F17" s="25" t="s">
        <v>479</v>
      </c>
      <c r="G17" s="26"/>
      <c r="I17" s="15"/>
      <c r="J17" s="9" t="s">
        <v>496</v>
      </c>
      <c r="O17" s="384" t="s">
        <v>607</v>
      </c>
      <c r="P17" s="384"/>
      <c r="Q17" s="384"/>
      <c r="R17" s="384"/>
      <c r="S17" s="384"/>
      <c r="T17" s="384"/>
      <c r="U17" s="384"/>
      <c r="V17" s="384"/>
      <c r="AB17" s="235"/>
      <c r="AD17" s="356"/>
      <c r="AE17" s="235" t="s">
        <v>99</v>
      </c>
    </row>
    <row r="18" spans="2:31" ht="15" customHeight="1" x14ac:dyDescent="0.3">
      <c r="B18" s="370"/>
      <c r="C18" s="371"/>
      <c r="F18" s="199"/>
      <c r="G18" s="199" t="s">
        <v>480</v>
      </c>
      <c r="I18" s="15"/>
      <c r="J18" s="25" t="s">
        <v>497</v>
      </c>
      <c r="K18" s="211" t="str">
        <f>IFERROR(AVERAGE(L11/L9,M11/M9,N11/N9),"")</f>
        <v/>
      </c>
      <c r="O18" s="384"/>
      <c r="P18" s="384"/>
      <c r="Q18" s="384"/>
      <c r="R18" s="384"/>
      <c r="S18" s="384"/>
      <c r="T18" s="384"/>
      <c r="U18" s="384"/>
      <c r="V18" s="384"/>
      <c r="AB18" s="235"/>
      <c r="AD18" s="356"/>
      <c r="AE18" s="235" t="s">
        <v>100</v>
      </c>
    </row>
    <row r="19" spans="2:31" ht="14.25" customHeight="1" x14ac:dyDescent="0.3">
      <c r="B19" s="370"/>
      <c r="C19" s="371"/>
      <c r="I19" s="15"/>
      <c r="AB19" s="235"/>
      <c r="AD19" s="356"/>
      <c r="AE19" s="235" t="s">
        <v>101</v>
      </c>
    </row>
    <row r="20" spans="2:31" ht="14.25" customHeight="1" x14ac:dyDescent="0.3">
      <c r="B20" s="370"/>
      <c r="C20" s="371"/>
      <c r="F20" s="200" t="s">
        <v>487</v>
      </c>
      <c r="G20" s="212"/>
      <c r="I20" s="15"/>
      <c r="J20" s="25" t="s">
        <v>600</v>
      </c>
      <c r="AB20" s="235"/>
      <c r="AD20" s="356"/>
      <c r="AE20" s="235" t="s">
        <v>102</v>
      </c>
    </row>
    <row r="21" spans="2:31" x14ac:dyDescent="0.3">
      <c r="B21" s="14"/>
      <c r="C21" s="14"/>
      <c r="I21" s="15"/>
      <c r="J21" s="25" t="s">
        <v>498</v>
      </c>
      <c r="K21" s="30" t="s">
        <v>499</v>
      </c>
      <c r="AB21" s="235"/>
      <c r="AD21" s="356"/>
      <c r="AE21" s="235" t="s">
        <v>103</v>
      </c>
    </row>
    <row r="22" spans="2:31" x14ac:dyDescent="0.3">
      <c r="F22" s="25" t="s">
        <v>486</v>
      </c>
      <c r="G22" s="213" t="str">
        <f>IF(OR(K18="",G11=""),"",IF(AND(G11="N",K18&lt;10%),AA5,IF(AND(G11="N",K18&gt;10%),AA6,IF(AND(G11="Y",K21="Y"),AA7,IF(AND(G11="Y",K21="N"),AA6,"")))))</f>
        <v/>
      </c>
      <c r="I22" s="15"/>
      <c r="AB22" s="235"/>
      <c r="AD22" s="356"/>
      <c r="AE22" s="235" t="s">
        <v>104</v>
      </c>
    </row>
    <row r="23" spans="2:31" x14ac:dyDescent="0.3">
      <c r="F23" s="64"/>
      <c r="G23" s="65"/>
      <c r="I23" s="15"/>
      <c r="J23" s="385" t="s">
        <v>511</v>
      </c>
      <c r="K23" s="385"/>
      <c r="O23" s="379" t="s">
        <v>608</v>
      </c>
      <c r="P23" s="379"/>
      <c r="Q23" s="379"/>
      <c r="R23" s="379"/>
      <c r="S23" s="379"/>
      <c r="T23" s="379"/>
      <c r="U23" s="379"/>
      <c r="V23" s="379"/>
      <c r="AB23" s="235"/>
      <c r="AD23" s="356"/>
      <c r="AE23" s="235" t="s">
        <v>105</v>
      </c>
    </row>
    <row r="24" spans="2:31" x14ac:dyDescent="0.3">
      <c r="I24" s="15"/>
      <c r="O24" s="379"/>
      <c r="P24" s="379"/>
      <c r="Q24" s="379"/>
      <c r="R24" s="379"/>
      <c r="S24" s="379"/>
      <c r="T24" s="379"/>
      <c r="U24" s="379"/>
      <c r="V24" s="379"/>
      <c r="AB24" s="235"/>
      <c r="AD24" s="356"/>
      <c r="AE24" s="235" t="s">
        <v>106</v>
      </c>
    </row>
    <row r="25" spans="2:31" x14ac:dyDescent="0.3">
      <c r="F25" s="203" t="s">
        <v>488</v>
      </c>
      <c r="G25" s="202"/>
      <c r="I25" s="15"/>
      <c r="O25" s="379"/>
      <c r="P25" s="379"/>
      <c r="Q25" s="379"/>
      <c r="R25" s="379"/>
      <c r="S25" s="379"/>
      <c r="T25" s="379"/>
      <c r="U25" s="379"/>
      <c r="V25" s="379"/>
      <c r="AB25" s="235"/>
      <c r="AD25" s="356"/>
      <c r="AE25" s="235" t="s">
        <v>107</v>
      </c>
    </row>
    <row r="26" spans="2:31" ht="14.25" customHeight="1" x14ac:dyDescent="0.3">
      <c r="F26" s="368" t="s">
        <v>585</v>
      </c>
      <c r="G26" s="46"/>
      <c r="H26" s="46"/>
      <c r="I26" s="15"/>
      <c r="AB26" s="235"/>
      <c r="AD26" s="356"/>
      <c r="AE26" s="235" t="s">
        <v>108</v>
      </c>
    </row>
    <row r="27" spans="2:31" ht="14.25" customHeight="1" x14ac:dyDescent="0.25">
      <c r="F27" s="2" t="s">
        <v>596</v>
      </c>
      <c r="G27" s="123"/>
      <c r="I27" s="15"/>
      <c r="AB27" s="235"/>
      <c r="AD27" s="356"/>
      <c r="AE27" s="235" t="s">
        <v>109</v>
      </c>
    </row>
    <row r="28" spans="2:31" x14ac:dyDescent="0.25">
      <c r="F28" s="2" t="s">
        <v>578</v>
      </c>
      <c r="G28" s="123"/>
      <c r="I28" s="15"/>
      <c r="AB28" s="235"/>
      <c r="AD28" s="356"/>
      <c r="AE28" s="235" t="s">
        <v>110</v>
      </c>
    </row>
    <row r="29" spans="2:31" x14ac:dyDescent="0.25">
      <c r="F29" s="2" t="s">
        <v>579</v>
      </c>
      <c r="G29" s="123"/>
      <c r="I29" s="15"/>
      <c r="O29" s="379" t="s">
        <v>509</v>
      </c>
      <c r="P29" s="379"/>
      <c r="Q29" s="379"/>
      <c r="R29" s="379"/>
      <c r="S29" s="379"/>
      <c r="T29" s="379"/>
      <c r="U29" s="379"/>
      <c r="V29" s="379"/>
      <c r="AB29" s="235"/>
      <c r="AD29" s="356"/>
      <c r="AE29" s="235" t="s">
        <v>111</v>
      </c>
    </row>
    <row r="30" spans="2:31" x14ac:dyDescent="0.3">
      <c r="G30" s="27"/>
      <c r="I30" s="15"/>
      <c r="O30" s="379"/>
      <c r="P30" s="379"/>
      <c r="Q30" s="379"/>
      <c r="R30" s="379"/>
      <c r="S30" s="379"/>
      <c r="T30" s="379"/>
      <c r="U30" s="379"/>
      <c r="V30" s="379"/>
      <c r="AB30" s="235"/>
      <c r="AD30" s="356"/>
      <c r="AE30" s="235" t="s">
        <v>112</v>
      </c>
    </row>
    <row r="31" spans="2:31" x14ac:dyDescent="0.25">
      <c r="F31" s="2" t="s">
        <v>580</v>
      </c>
      <c r="G31" s="258"/>
      <c r="I31" s="15"/>
      <c r="J31" s="215"/>
      <c r="O31" s="379"/>
      <c r="P31" s="379"/>
      <c r="Q31" s="379"/>
      <c r="R31" s="379"/>
      <c r="S31" s="379"/>
      <c r="T31" s="379"/>
      <c r="U31" s="379"/>
      <c r="V31" s="379"/>
      <c r="AB31" s="235"/>
      <c r="AD31" s="356"/>
      <c r="AE31" s="235" t="s">
        <v>113</v>
      </c>
    </row>
    <row r="32" spans="2:31" x14ac:dyDescent="0.25">
      <c r="F32" s="2" t="s">
        <v>581</v>
      </c>
      <c r="G32" s="258"/>
      <c r="I32" s="15"/>
      <c r="J32" s="116"/>
      <c r="O32" s="353"/>
      <c r="P32" s="353"/>
      <c r="Q32" s="353"/>
      <c r="R32" s="353"/>
      <c r="S32" s="353"/>
      <c r="T32" s="353"/>
      <c r="U32" s="353"/>
      <c r="V32" s="249"/>
      <c r="AB32" s="235"/>
      <c r="AD32" s="356"/>
      <c r="AE32" s="235" t="s">
        <v>114</v>
      </c>
    </row>
    <row r="33" spans="6:31" x14ac:dyDescent="0.25">
      <c r="F33" s="2" t="s">
        <v>582</v>
      </c>
      <c r="G33" s="258"/>
      <c r="I33" s="15"/>
      <c r="J33" s="116"/>
      <c r="O33" s="353"/>
      <c r="P33" s="353"/>
      <c r="Q33" s="353"/>
      <c r="R33" s="353"/>
      <c r="S33" s="353"/>
      <c r="T33" s="353"/>
      <c r="U33" s="353"/>
      <c r="V33" s="249"/>
      <c r="AB33" s="235"/>
      <c r="AD33" s="356"/>
      <c r="AE33" s="235" t="s">
        <v>115</v>
      </c>
    </row>
    <row r="34" spans="6:31" x14ac:dyDescent="0.3">
      <c r="G34" s="27"/>
      <c r="I34" s="15"/>
      <c r="J34" s="116"/>
      <c r="AB34" s="235"/>
      <c r="AD34" s="356"/>
      <c r="AE34" s="235" t="s">
        <v>116</v>
      </c>
    </row>
    <row r="35" spans="6:31" x14ac:dyDescent="0.25">
      <c r="F35" s="2" t="s">
        <v>491</v>
      </c>
      <c r="G35" s="32"/>
      <c r="I35" s="15"/>
      <c r="J35" s="65"/>
      <c r="K35" s="65"/>
      <c r="L35" s="65"/>
      <c r="M35" s="65"/>
      <c r="N35" s="65"/>
      <c r="O35" s="65"/>
      <c r="P35" s="64"/>
      <c r="Q35" s="64"/>
      <c r="R35" s="64"/>
      <c r="S35" s="64"/>
      <c r="T35" s="64"/>
      <c r="U35" s="64"/>
      <c r="V35" s="64"/>
      <c r="AB35" s="235"/>
      <c r="AD35" s="356"/>
      <c r="AE35" s="235" t="s">
        <v>117</v>
      </c>
    </row>
    <row r="36" spans="6:31" x14ac:dyDescent="0.25">
      <c r="F36" s="2" t="s">
        <v>492</v>
      </c>
      <c r="G36" s="32"/>
      <c r="I36" s="15"/>
      <c r="AB36" s="235"/>
      <c r="AD36" s="356"/>
      <c r="AE36" s="235" t="s">
        <v>118</v>
      </c>
    </row>
    <row r="37" spans="6:31" x14ac:dyDescent="0.25">
      <c r="F37" s="2" t="s">
        <v>493</v>
      </c>
      <c r="G37" s="32"/>
      <c r="I37" s="15"/>
      <c r="AB37" s="235"/>
      <c r="AD37" s="356"/>
      <c r="AE37" s="235" t="s">
        <v>119</v>
      </c>
    </row>
    <row r="38" spans="6:31" x14ac:dyDescent="0.3">
      <c r="G38" s="27"/>
      <c r="I38" s="15"/>
      <c r="J38" s="203" t="s">
        <v>510</v>
      </c>
      <c r="K38" s="205"/>
      <c r="L38" s="205"/>
      <c r="M38" s="205"/>
      <c r="N38" s="205"/>
      <c r="O38" s="205"/>
      <c r="P38" s="205"/>
      <c r="Q38" s="205"/>
      <c r="R38" s="205"/>
      <c r="S38" s="205"/>
      <c r="T38" s="205"/>
      <c r="U38" s="205"/>
      <c r="V38" s="205"/>
      <c r="AB38" s="235"/>
      <c r="AD38" s="356"/>
      <c r="AE38" s="235" t="s">
        <v>120</v>
      </c>
    </row>
    <row r="39" spans="6:31" ht="14.4" x14ac:dyDescent="0.3">
      <c r="F39" s="199" t="s">
        <v>494</v>
      </c>
      <c r="G39" s="366" t="s">
        <v>598</v>
      </c>
      <c r="I39" s="15"/>
      <c r="J39" s="214"/>
      <c r="K39" s="135"/>
      <c r="L39" s="135"/>
      <c r="M39" s="135"/>
      <c r="N39" s="135"/>
      <c r="O39" s="135"/>
      <c r="P39" s="135"/>
      <c r="Q39" s="135"/>
      <c r="R39" s="135"/>
      <c r="S39" s="135"/>
      <c r="T39" s="135"/>
      <c r="U39" s="135"/>
      <c r="V39" s="135"/>
      <c r="AB39" s="235"/>
      <c r="AD39" s="356"/>
      <c r="AE39" s="235" t="s">
        <v>121</v>
      </c>
    </row>
    <row r="40" spans="6:31" ht="55.2" x14ac:dyDescent="0.3">
      <c r="F40" s="372" t="s">
        <v>597</v>
      </c>
      <c r="G40" s="65"/>
      <c r="I40" s="15"/>
      <c r="J40" s="27" t="s">
        <v>503</v>
      </c>
      <c r="K40" s="201" t="s">
        <v>313</v>
      </c>
      <c r="L40" s="8" t="s">
        <v>314</v>
      </c>
      <c r="M40" s="8" t="s">
        <v>315</v>
      </c>
      <c r="N40" s="201" t="s">
        <v>252</v>
      </c>
      <c r="O40" s="8" t="s">
        <v>253</v>
      </c>
      <c r="P40" s="8" t="s">
        <v>254</v>
      </c>
      <c r="Q40" s="201" t="s">
        <v>504</v>
      </c>
      <c r="R40" s="8" t="s">
        <v>505</v>
      </c>
      <c r="S40" s="8" t="s">
        <v>506</v>
      </c>
      <c r="T40" s="8"/>
      <c r="U40" s="8"/>
      <c r="V40" s="8"/>
      <c r="AB40" s="235"/>
      <c r="AD40" s="356"/>
      <c r="AE40" s="235" t="s">
        <v>122</v>
      </c>
    </row>
    <row r="41" spans="6:31" x14ac:dyDescent="0.25">
      <c r="I41" s="15"/>
      <c r="J41" s="361"/>
      <c r="K41" s="259"/>
      <c r="L41" s="260"/>
      <c r="M41" s="261"/>
      <c r="N41" s="262"/>
      <c r="O41" s="263"/>
      <c r="P41" s="264"/>
      <c r="Q41" s="358"/>
      <c r="R41" s="51"/>
      <c r="S41" s="359"/>
      <c r="T41" s="8"/>
      <c r="U41" s="8"/>
      <c r="V41" s="8"/>
      <c r="AB41" s="235"/>
      <c r="AD41" s="356"/>
      <c r="AE41" s="235" t="s">
        <v>123</v>
      </c>
    </row>
    <row r="42" spans="6:31" x14ac:dyDescent="0.25">
      <c r="F42" s="254" t="s">
        <v>526</v>
      </c>
      <c r="G42" s="255"/>
      <c r="I42" s="15"/>
      <c r="J42" s="361"/>
      <c r="K42" s="259"/>
      <c r="L42" s="260"/>
      <c r="M42" s="261"/>
      <c r="N42" s="262"/>
      <c r="O42" s="263"/>
      <c r="P42" s="264"/>
      <c r="Q42" s="358"/>
      <c r="R42" s="51"/>
      <c r="S42" s="359"/>
      <c r="T42" s="8"/>
      <c r="U42" s="8"/>
      <c r="V42" s="8"/>
      <c r="AB42" s="235"/>
      <c r="AD42" s="356"/>
      <c r="AE42" s="235" t="s">
        <v>124</v>
      </c>
    </row>
    <row r="43" spans="6:31" x14ac:dyDescent="0.25">
      <c r="I43" s="15"/>
      <c r="J43" s="361"/>
      <c r="K43" s="259"/>
      <c r="L43" s="260"/>
      <c r="M43" s="261"/>
      <c r="N43" s="262"/>
      <c r="O43" s="263"/>
      <c r="P43" s="264"/>
      <c r="Q43" s="358"/>
      <c r="R43" s="51"/>
      <c r="S43" s="359"/>
      <c r="T43" s="8"/>
      <c r="U43" s="8"/>
      <c r="V43" s="8"/>
      <c r="AB43" s="235"/>
      <c r="AD43" s="356"/>
      <c r="AE43" s="235" t="s">
        <v>125</v>
      </c>
    </row>
    <row r="44" spans="6:31" x14ac:dyDescent="0.25">
      <c r="F44" s="2" t="s">
        <v>522</v>
      </c>
      <c r="G44" s="123"/>
      <c r="I44" s="15"/>
      <c r="J44" s="361"/>
      <c r="K44" s="259"/>
      <c r="L44" s="260"/>
      <c r="M44" s="261"/>
      <c r="N44" s="262"/>
      <c r="O44" s="263"/>
      <c r="P44" s="264"/>
      <c r="Q44" s="358"/>
      <c r="R44" s="51"/>
      <c r="S44" s="359"/>
      <c r="T44" s="8"/>
      <c r="U44" s="8"/>
      <c r="V44" s="8"/>
      <c r="AB44" s="235"/>
      <c r="AD44" s="356"/>
      <c r="AE44" s="235" t="s">
        <v>126</v>
      </c>
    </row>
    <row r="45" spans="6:31" x14ac:dyDescent="0.25">
      <c r="F45" s="2" t="str">
        <f>CONCATENATE("Uzņēmuma CY ",G44)</f>
        <v xml:space="preserve">Uzņēmuma CY </v>
      </c>
      <c r="G45" s="123"/>
      <c r="I45" s="15"/>
      <c r="J45" s="361"/>
      <c r="K45" s="259"/>
      <c r="L45" s="260"/>
      <c r="M45" s="261"/>
      <c r="N45" s="262"/>
      <c r="O45" s="263"/>
      <c r="P45" s="264"/>
      <c r="Q45" s="358"/>
      <c r="R45" s="51"/>
      <c r="S45" s="359"/>
      <c r="T45" s="8"/>
      <c r="U45" s="8"/>
      <c r="V45" s="8"/>
      <c r="AB45" s="235"/>
      <c r="AD45" s="356"/>
      <c r="AE45" s="235" t="s">
        <v>127</v>
      </c>
    </row>
    <row r="46" spans="6:31" x14ac:dyDescent="0.25">
      <c r="F46" s="25" t="str">
        <f>CONCATENATE("Uzņēmuma CY-1 ",G44)</f>
        <v xml:space="preserve">Uzņēmuma CY-1 </v>
      </c>
      <c r="G46" s="123"/>
      <c r="I46" s="15"/>
      <c r="J46" s="361"/>
      <c r="K46" s="259"/>
      <c r="L46" s="260"/>
      <c r="M46" s="261"/>
      <c r="N46" s="262"/>
      <c r="O46" s="263"/>
      <c r="P46" s="264"/>
      <c r="Q46" s="358"/>
      <c r="R46" s="51"/>
      <c r="S46" s="359"/>
      <c r="T46" s="8"/>
      <c r="U46" s="8"/>
      <c r="V46" s="8"/>
      <c r="AB46" s="235"/>
      <c r="AD46" s="356"/>
      <c r="AE46" s="235" t="s">
        <v>128</v>
      </c>
    </row>
    <row r="47" spans="6:31" x14ac:dyDescent="0.25">
      <c r="F47" s="25" t="str">
        <f>CONCATENATE("Uzņēmuma CY-2 ",G44)</f>
        <v xml:space="preserve">Uzņēmuma CY-2 </v>
      </c>
      <c r="G47" s="123"/>
      <c r="I47" s="15"/>
      <c r="J47" s="361"/>
      <c r="K47" s="259"/>
      <c r="L47" s="260"/>
      <c r="M47" s="261"/>
      <c r="N47" s="262"/>
      <c r="O47" s="263"/>
      <c r="P47" s="264"/>
      <c r="Q47" s="358"/>
      <c r="R47" s="51"/>
      <c r="S47" s="359"/>
      <c r="T47" s="8"/>
      <c r="U47" s="8"/>
      <c r="V47" s="8"/>
      <c r="AB47" s="235"/>
      <c r="AD47" s="356"/>
      <c r="AE47" s="235" t="s">
        <v>129</v>
      </c>
    </row>
    <row r="48" spans="6:31" x14ac:dyDescent="0.25">
      <c r="F48" s="25" t="str">
        <f>CONCATENATE("Uzņēmuma CY-3 ",G44)</f>
        <v xml:space="preserve">Uzņēmuma CY-3 </v>
      </c>
      <c r="G48" s="123"/>
      <c r="I48" s="15"/>
      <c r="J48" s="361"/>
      <c r="K48" s="259"/>
      <c r="L48" s="260"/>
      <c r="M48" s="261"/>
      <c r="N48" s="262"/>
      <c r="O48" s="263"/>
      <c r="P48" s="264"/>
      <c r="Q48" s="358"/>
      <c r="R48" s="51"/>
      <c r="S48" s="359"/>
      <c r="T48" s="8"/>
      <c r="U48" s="8"/>
      <c r="V48" s="8"/>
      <c r="AB48" s="235"/>
      <c r="AD48" s="356"/>
      <c r="AE48" s="235" t="s">
        <v>130</v>
      </c>
    </row>
    <row r="49" spans="6:31" x14ac:dyDescent="0.25">
      <c r="I49" s="15"/>
      <c r="J49" s="361"/>
      <c r="K49" s="259"/>
      <c r="L49" s="260"/>
      <c r="M49" s="261"/>
      <c r="N49" s="262"/>
      <c r="O49" s="263"/>
      <c r="P49" s="264"/>
      <c r="Q49" s="358"/>
      <c r="R49" s="51"/>
      <c r="S49" s="359"/>
      <c r="T49" s="8"/>
      <c r="U49" s="8"/>
      <c r="V49" s="8"/>
      <c r="AB49" s="235"/>
      <c r="AD49" s="356"/>
      <c r="AE49" s="235" t="s">
        <v>131</v>
      </c>
    </row>
    <row r="50" spans="6:31" x14ac:dyDescent="0.25">
      <c r="F50" s="25" t="s">
        <v>523</v>
      </c>
      <c r="G50" s="123"/>
      <c r="I50" s="15"/>
      <c r="J50" s="361"/>
      <c r="K50" s="259"/>
      <c r="L50" s="260"/>
      <c r="M50" s="261"/>
      <c r="N50" s="262"/>
      <c r="O50" s="263"/>
      <c r="P50" s="264"/>
      <c r="Q50" s="358"/>
      <c r="R50" s="51"/>
      <c r="S50" s="359"/>
      <c r="T50" s="8"/>
      <c r="U50" s="8"/>
      <c r="V50" s="8"/>
      <c r="AB50" s="235"/>
      <c r="AD50" s="356"/>
      <c r="AE50" s="235" t="s">
        <v>132</v>
      </c>
    </row>
    <row r="51" spans="6:31" x14ac:dyDescent="0.25">
      <c r="F51" s="25" t="str">
        <f>CONCATENATE(G44," (Zemākā robeža)")</f>
        <v xml:space="preserve"> (Zemākā robeža)</v>
      </c>
      <c r="G51" s="123"/>
      <c r="I51" s="15"/>
      <c r="J51" s="361"/>
      <c r="K51" s="259"/>
      <c r="L51" s="260"/>
      <c r="M51" s="261"/>
      <c r="N51" s="262"/>
      <c r="O51" s="263"/>
      <c r="P51" s="264"/>
      <c r="Q51" s="358"/>
      <c r="R51" s="51"/>
      <c r="S51" s="359"/>
      <c r="T51" s="8"/>
      <c r="U51" s="8"/>
      <c r="V51" s="8"/>
      <c r="AB51" s="235"/>
      <c r="AD51" s="356"/>
      <c r="AE51" s="235" t="s">
        <v>133</v>
      </c>
    </row>
    <row r="52" spans="6:31" x14ac:dyDescent="0.25">
      <c r="F52" s="25" t="str">
        <f>CONCATENATE(G44," (Augšējā robeža)")</f>
        <v xml:space="preserve"> (Augšējā robeža)</v>
      </c>
      <c r="G52" s="123"/>
      <c r="I52" s="15"/>
      <c r="J52" s="361"/>
      <c r="K52" s="259"/>
      <c r="L52" s="260"/>
      <c r="M52" s="261"/>
      <c r="N52" s="262"/>
      <c r="O52" s="263"/>
      <c r="P52" s="264"/>
      <c r="Q52" s="358"/>
      <c r="R52" s="51"/>
      <c r="S52" s="359"/>
      <c r="T52" s="8"/>
      <c r="U52" s="8"/>
      <c r="V52" s="8"/>
      <c r="AB52" s="235"/>
      <c r="AD52" s="356"/>
      <c r="AE52" s="235" t="s">
        <v>134</v>
      </c>
    </row>
    <row r="53" spans="6:31" x14ac:dyDescent="0.25">
      <c r="I53" s="15"/>
      <c r="J53" s="361"/>
      <c r="K53" s="259"/>
      <c r="L53" s="260"/>
      <c r="M53" s="261"/>
      <c r="N53" s="262"/>
      <c r="O53" s="263"/>
      <c r="P53" s="264"/>
      <c r="Q53" s="358"/>
      <c r="R53" s="51"/>
      <c r="S53" s="359"/>
      <c r="T53" s="8"/>
      <c r="U53" s="8"/>
      <c r="V53" s="8"/>
      <c r="AB53" s="235"/>
      <c r="AD53" s="356"/>
      <c r="AE53" s="235" t="s">
        <v>135</v>
      </c>
    </row>
    <row r="54" spans="6:31" ht="14.4" x14ac:dyDescent="0.25">
      <c r="F54" s="199" t="s">
        <v>494</v>
      </c>
      <c r="G54" s="366" t="s">
        <v>598</v>
      </c>
      <c r="I54" s="15"/>
      <c r="J54" s="361"/>
      <c r="K54" s="259"/>
      <c r="L54" s="260"/>
      <c r="M54" s="261"/>
      <c r="N54" s="262"/>
      <c r="O54" s="263"/>
      <c r="P54" s="264"/>
      <c r="Q54" s="358"/>
      <c r="R54" s="51"/>
      <c r="S54" s="359"/>
      <c r="T54" s="8"/>
      <c r="U54" s="8"/>
      <c r="V54" s="8"/>
      <c r="AB54" s="235"/>
      <c r="AD54" s="356"/>
      <c r="AE54" s="235" t="s">
        <v>136</v>
      </c>
    </row>
    <row r="55" spans="6:31" ht="14.4" x14ac:dyDescent="0.25">
      <c r="G55" s="366"/>
      <c r="I55" s="15"/>
      <c r="J55" s="361"/>
      <c r="K55" s="259"/>
      <c r="L55" s="260"/>
      <c r="M55" s="261"/>
      <c r="N55" s="262"/>
      <c r="O55" s="263"/>
      <c r="P55" s="264"/>
      <c r="Q55" s="358"/>
      <c r="R55" s="51"/>
      <c r="S55" s="359"/>
      <c r="T55" s="8"/>
      <c r="U55" s="8"/>
      <c r="V55" s="8"/>
      <c r="AB55" s="235"/>
      <c r="AD55" s="356"/>
      <c r="AE55" s="235" t="s">
        <v>137</v>
      </c>
    </row>
    <row r="56" spans="6:31" x14ac:dyDescent="0.25">
      <c r="F56" s="254" t="s">
        <v>527</v>
      </c>
      <c r="G56" s="255"/>
      <c r="I56" s="15"/>
      <c r="J56" s="122"/>
      <c r="K56" s="122"/>
      <c r="L56" s="122"/>
      <c r="M56" s="122"/>
      <c r="N56" s="265"/>
      <c r="O56" s="265"/>
      <c r="P56" s="265"/>
      <c r="Q56" s="122"/>
      <c r="R56" s="122"/>
      <c r="S56" s="122"/>
      <c r="T56" s="122"/>
      <c r="U56" s="122"/>
      <c r="V56" s="122"/>
      <c r="AB56" s="235"/>
      <c r="AD56" s="356"/>
      <c r="AE56" s="235" t="s">
        <v>138</v>
      </c>
    </row>
    <row r="57" spans="6:31" ht="14.4" x14ac:dyDescent="0.25">
      <c r="I57" s="15"/>
      <c r="J57" s="199" t="s">
        <v>494</v>
      </c>
      <c r="K57" s="367" t="s">
        <v>598</v>
      </c>
      <c r="L57" s="122"/>
      <c r="M57" s="122"/>
      <c r="N57" s="122"/>
      <c r="O57" s="122"/>
      <c r="P57" s="122"/>
      <c r="Q57" s="122"/>
      <c r="R57" s="122"/>
      <c r="S57" s="122"/>
      <c r="T57" s="122"/>
      <c r="U57" s="122"/>
      <c r="V57" s="122"/>
      <c r="AB57" s="235"/>
      <c r="AD57" s="356"/>
      <c r="AE57" s="235" t="s">
        <v>139</v>
      </c>
    </row>
    <row r="58" spans="6:31" x14ac:dyDescent="0.3">
      <c r="F58" s="25" t="s">
        <v>528</v>
      </c>
      <c r="G58" s="258"/>
      <c r="I58" s="15"/>
      <c r="AB58" s="235"/>
      <c r="AD58" s="356"/>
      <c r="AE58" s="235" t="s">
        <v>140</v>
      </c>
    </row>
    <row r="59" spans="6:31" ht="13.5" customHeight="1" x14ac:dyDescent="0.3">
      <c r="G59" s="268"/>
      <c r="I59" s="15"/>
      <c r="J59" s="199"/>
      <c r="K59" s="210"/>
      <c r="AB59" s="235"/>
      <c r="AD59" s="356"/>
      <c r="AE59" s="235" t="s">
        <v>141</v>
      </c>
    </row>
    <row r="60" spans="6:31" ht="13.5" customHeight="1" x14ac:dyDescent="0.3">
      <c r="F60" s="25" t="s">
        <v>529</v>
      </c>
      <c r="G60" s="258"/>
      <c r="I60" s="15"/>
      <c r="J60" s="199"/>
      <c r="K60" s="210"/>
      <c r="AB60" s="235"/>
      <c r="AD60" s="356"/>
      <c r="AE60" s="235" t="s">
        <v>142</v>
      </c>
    </row>
    <row r="61" spans="6:31" ht="13.5" customHeight="1" x14ac:dyDescent="0.3">
      <c r="I61" s="15"/>
      <c r="J61" s="199"/>
      <c r="K61" s="210"/>
      <c r="AB61" s="235"/>
      <c r="AD61" s="356"/>
      <c r="AE61" s="235" t="s">
        <v>143</v>
      </c>
    </row>
    <row r="62" spans="6:31" ht="14.4" x14ac:dyDescent="0.3">
      <c r="F62" s="199" t="s">
        <v>494</v>
      </c>
      <c r="G62" s="366" t="s">
        <v>598</v>
      </c>
      <c r="I62" s="15"/>
      <c r="J62" s="199"/>
      <c r="K62" s="210"/>
      <c r="AB62" s="235"/>
      <c r="AD62" s="356"/>
      <c r="AE62" s="235" t="s">
        <v>144</v>
      </c>
    </row>
    <row r="63" spans="6:31" x14ac:dyDescent="0.3">
      <c r="F63" s="64"/>
      <c r="G63" s="65"/>
      <c r="H63" s="65"/>
      <c r="I63" s="65"/>
      <c r="J63" s="65"/>
      <c r="K63" s="65"/>
      <c r="L63" s="65"/>
      <c r="M63" s="65"/>
      <c r="N63" s="65"/>
      <c r="O63" s="65"/>
      <c r="P63" s="64"/>
      <c r="Q63" s="64"/>
      <c r="R63" s="64"/>
      <c r="S63" s="64"/>
      <c r="T63" s="64"/>
      <c r="U63" s="64"/>
      <c r="V63" s="64"/>
      <c r="AB63" s="235"/>
      <c r="AD63" s="356"/>
      <c r="AE63" s="235" t="s">
        <v>145</v>
      </c>
    </row>
    <row r="64" spans="6:31" x14ac:dyDescent="0.3">
      <c r="P64" s="25"/>
      <c r="Q64" s="25"/>
      <c r="R64" s="25"/>
      <c r="S64" s="25"/>
      <c r="T64" s="25"/>
      <c r="U64" s="25"/>
      <c r="V64" s="25"/>
      <c r="AB64" s="235"/>
      <c r="AD64" s="356"/>
      <c r="AE64" s="235" t="s">
        <v>146</v>
      </c>
    </row>
    <row r="65" spans="16:31" x14ac:dyDescent="0.3">
      <c r="AB65" s="235"/>
      <c r="AD65" s="356"/>
      <c r="AE65" s="235" t="s">
        <v>147</v>
      </c>
    </row>
    <row r="66" spans="16:31" x14ac:dyDescent="0.3">
      <c r="P66" s="25"/>
      <c r="Q66" s="25"/>
      <c r="R66" s="25"/>
      <c r="S66" s="25"/>
      <c r="T66" s="25"/>
      <c r="U66" s="25"/>
      <c r="V66" s="25"/>
      <c r="AB66" s="235"/>
      <c r="AD66" s="356"/>
      <c r="AE66" s="235" t="s">
        <v>148</v>
      </c>
    </row>
    <row r="67" spans="16:31" x14ac:dyDescent="0.3">
      <c r="AB67" s="235"/>
      <c r="AD67" s="356"/>
      <c r="AE67" s="235" t="s">
        <v>149</v>
      </c>
    </row>
    <row r="68" spans="16:31" x14ac:dyDescent="0.3">
      <c r="AB68" s="235"/>
      <c r="AD68" s="356"/>
      <c r="AE68" s="235" t="s">
        <v>150</v>
      </c>
    </row>
    <row r="69" spans="16:31" x14ac:dyDescent="0.3">
      <c r="AB69" s="235"/>
      <c r="AD69" s="356"/>
      <c r="AE69" s="235" t="s">
        <v>151</v>
      </c>
    </row>
    <row r="70" spans="16:31" x14ac:dyDescent="0.3">
      <c r="AB70" s="235"/>
      <c r="AD70" s="356"/>
      <c r="AE70" s="235" t="s">
        <v>152</v>
      </c>
    </row>
    <row r="71" spans="16:31" x14ac:dyDescent="0.3">
      <c r="AB71" s="235"/>
      <c r="AD71" s="356"/>
      <c r="AE71" s="235" t="s">
        <v>153</v>
      </c>
    </row>
    <row r="72" spans="16:31" x14ac:dyDescent="0.3">
      <c r="AB72" s="235"/>
      <c r="AD72" s="356"/>
      <c r="AE72" s="235" t="s">
        <v>154</v>
      </c>
    </row>
    <row r="73" spans="16:31" x14ac:dyDescent="0.3">
      <c r="AB73" s="235"/>
      <c r="AD73" s="356"/>
      <c r="AE73" s="235" t="s">
        <v>155</v>
      </c>
    </row>
    <row r="74" spans="16:31" x14ac:dyDescent="0.3">
      <c r="AB74" s="235"/>
      <c r="AD74" s="356"/>
      <c r="AE74" s="235" t="s">
        <v>156</v>
      </c>
    </row>
    <row r="75" spans="16:31" x14ac:dyDescent="0.3">
      <c r="AB75" s="235"/>
      <c r="AD75" s="356"/>
      <c r="AE75" s="235" t="s">
        <v>157</v>
      </c>
    </row>
    <row r="76" spans="16:31" x14ac:dyDescent="0.3">
      <c r="AB76" s="235"/>
      <c r="AD76" s="356"/>
      <c r="AE76" s="235" t="s">
        <v>158</v>
      </c>
    </row>
    <row r="77" spans="16:31" x14ac:dyDescent="0.3">
      <c r="AB77" s="235"/>
      <c r="AD77" s="356"/>
      <c r="AE77" s="235" t="s">
        <v>159</v>
      </c>
    </row>
    <row r="78" spans="16:31" x14ac:dyDescent="0.3">
      <c r="AB78" s="235"/>
      <c r="AD78" s="356"/>
      <c r="AE78" s="235" t="s">
        <v>160</v>
      </c>
    </row>
    <row r="79" spans="16:31" x14ac:dyDescent="0.3">
      <c r="AB79" s="235"/>
      <c r="AD79" s="356"/>
      <c r="AE79" s="235" t="s">
        <v>161</v>
      </c>
    </row>
    <row r="80" spans="16:31" x14ac:dyDescent="0.3">
      <c r="AB80" s="235"/>
      <c r="AD80" s="356"/>
      <c r="AE80" s="235" t="s">
        <v>162</v>
      </c>
    </row>
    <row r="81" spans="28:31" x14ac:dyDescent="0.3">
      <c r="AB81" s="235"/>
      <c r="AD81" s="356"/>
      <c r="AE81" s="235" t="s">
        <v>163</v>
      </c>
    </row>
    <row r="82" spans="28:31" x14ac:dyDescent="0.3">
      <c r="AB82" s="235"/>
      <c r="AD82" s="356"/>
      <c r="AE82" s="235" t="s">
        <v>164</v>
      </c>
    </row>
    <row r="83" spans="28:31" x14ac:dyDescent="0.3">
      <c r="AB83" s="235"/>
      <c r="AD83" s="356"/>
      <c r="AE83" s="235" t="s">
        <v>165</v>
      </c>
    </row>
    <row r="84" spans="28:31" x14ac:dyDescent="0.3">
      <c r="AB84" s="235"/>
      <c r="AD84" s="356"/>
      <c r="AE84" s="235" t="s">
        <v>166</v>
      </c>
    </row>
    <row r="85" spans="28:31" x14ac:dyDescent="0.3">
      <c r="AB85" s="235"/>
      <c r="AD85" s="356"/>
      <c r="AE85" s="235" t="s">
        <v>167</v>
      </c>
    </row>
    <row r="86" spans="28:31" x14ac:dyDescent="0.3">
      <c r="AB86" s="235"/>
      <c r="AD86" s="356"/>
      <c r="AE86" s="235" t="s">
        <v>168</v>
      </c>
    </row>
    <row r="87" spans="28:31" x14ac:dyDescent="0.3">
      <c r="AB87" s="235"/>
      <c r="AD87" s="356"/>
      <c r="AE87" s="235" t="s">
        <v>169</v>
      </c>
    </row>
    <row r="88" spans="28:31" x14ac:dyDescent="0.3">
      <c r="AB88" s="235"/>
      <c r="AD88" s="356"/>
      <c r="AE88" s="235" t="s">
        <v>170</v>
      </c>
    </row>
    <row r="89" spans="28:31" x14ac:dyDescent="0.3">
      <c r="AB89" s="235"/>
      <c r="AD89" s="356"/>
      <c r="AE89" s="235" t="s">
        <v>171</v>
      </c>
    </row>
    <row r="90" spans="28:31" x14ac:dyDescent="0.3">
      <c r="AB90" s="235"/>
      <c r="AD90" s="356"/>
      <c r="AE90" s="235" t="s">
        <v>172</v>
      </c>
    </row>
    <row r="91" spans="28:31" x14ac:dyDescent="0.3">
      <c r="AB91" s="235"/>
      <c r="AD91" s="356"/>
      <c r="AE91" s="235" t="s">
        <v>173</v>
      </c>
    </row>
    <row r="92" spans="28:31" x14ac:dyDescent="0.3">
      <c r="AB92" s="235"/>
      <c r="AD92" s="356"/>
      <c r="AE92" s="235" t="s">
        <v>174</v>
      </c>
    </row>
    <row r="93" spans="28:31" x14ac:dyDescent="0.3">
      <c r="AB93" s="235"/>
      <c r="AD93" s="356"/>
      <c r="AE93" s="235" t="s">
        <v>301</v>
      </c>
    </row>
    <row r="94" spans="28:31" x14ac:dyDescent="0.3">
      <c r="AB94" s="235"/>
      <c r="AD94" s="356"/>
    </row>
    <row r="95" spans="28:31" x14ac:dyDescent="0.3">
      <c r="AB95" s="235"/>
      <c r="AD95" s="356"/>
    </row>
    <row r="96" spans="28:31" x14ac:dyDescent="0.3">
      <c r="AB96" s="235"/>
      <c r="AD96" s="356"/>
    </row>
    <row r="97" spans="28:30" x14ac:dyDescent="0.3">
      <c r="AB97" s="235"/>
      <c r="AD97" s="356"/>
    </row>
    <row r="98" spans="28:30" x14ac:dyDescent="0.3">
      <c r="AB98" s="235"/>
      <c r="AD98" s="356"/>
    </row>
    <row r="99" spans="28:30" x14ac:dyDescent="0.3">
      <c r="AB99" s="235"/>
      <c r="AD99" s="356"/>
    </row>
    <row r="100" spans="28:30" x14ac:dyDescent="0.3">
      <c r="AB100" s="235"/>
      <c r="AD100" s="356"/>
    </row>
    <row r="101" spans="28:30" x14ac:dyDescent="0.3">
      <c r="AB101" s="235"/>
      <c r="AD101" s="356"/>
    </row>
    <row r="102" spans="28:30" x14ac:dyDescent="0.3">
      <c r="AB102" s="235"/>
      <c r="AD102" s="356"/>
    </row>
    <row r="103" spans="28:30" x14ac:dyDescent="0.3">
      <c r="AB103" s="235"/>
      <c r="AD103" s="356"/>
    </row>
    <row r="104" spans="28:30" x14ac:dyDescent="0.3">
      <c r="AB104" s="235"/>
      <c r="AD104" s="356"/>
    </row>
    <row r="105" spans="28:30" x14ac:dyDescent="0.3">
      <c r="AB105" s="235"/>
      <c r="AD105" s="356"/>
    </row>
    <row r="106" spans="28:30" x14ac:dyDescent="0.3">
      <c r="AB106" s="235"/>
      <c r="AD106" s="356"/>
    </row>
    <row r="107" spans="28:30" x14ac:dyDescent="0.3">
      <c r="AB107" s="235"/>
      <c r="AD107" s="356"/>
    </row>
    <row r="108" spans="28:30" x14ac:dyDescent="0.3">
      <c r="AB108" s="235"/>
      <c r="AD108" s="356"/>
    </row>
    <row r="109" spans="28:30" x14ac:dyDescent="0.3">
      <c r="AB109" s="235"/>
      <c r="AD109" s="356"/>
    </row>
    <row r="110" spans="28:30" x14ac:dyDescent="0.3">
      <c r="AB110" s="235"/>
      <c r="AD110" s="356"/>
    </row>
    <row r="111" spans="28:30" x14ac:dyDescent="0.3">
      <c r="AB111" s="235"/>
      <c r="AD111" s="356"/>
    </row>
  </sheetData>
  <mergeCells count="13">
    <mergeCell ref="B2:C2"/>
    <mergeCell ref="B3:C3"/>
    <mergeCell ref="O23:V25"/>
    <mergeCell ref="O29:V31"/>
    <mergeCell ref="P8:Q8"/>
    <mergeCell ref="B5:C5"/>
    <mergeCell ref="B4:C4"/>
    <mergeCell ref="B9:C9"/>
    <mergeCell ref="B15:C15"/>
    <mergeCell ref="B6:C6"/>
    <mergeCell ref="O17:V18"/>
    <mergeCell ref="J23:K23"/>
    <mergeCell ref="B7:C7"/>
  </mergeCells>
  <phoneticPr fontId="2" type="noConversion"/>
  <conditionalFormatting sqref="B9:C9">
    <cfRule type="expression" dxfId="50" priority="8">
      <formula>$G$22="Commercial"</formula>
    </cfRule>
  </conditionalFormatting>
  <conditionalFormatting sqref="B10:C14">
    <cfRule type="expression" dxfId="49" priority="7">
      <formula>$G$22="Commercial"</formula>
    </cfRule>
  </conditionalFormatting>
  <conditionalFormatting sqref="B15:C15">
    <cfRule type="expression" dxfId="48" priority="4">
      <formula>OR($G$22="State dependent commercial",$G$22="State dependent non-commercial")</formula>
    </cfRule>
    <cfRule type="expression" dxfId="47" priority="6">
      <formula>$G$22="Commercial"</formula>
    </cfRule>
  </conditionalFormatting>
  <conditionalFormatting sqref="B16:C20">
    <cfRule type="expression" dxfId="46" priority="1">
      <formula>$G$22="Commercial"</formula>
    </cfRule>
  </conditionalFormatting>
  <hyperlinks>
    <hyperlink ref="B6" location="'SOE DETAILS'!A1" display="SOE DETAILS" xr:uid="{AA030EE2-8F83-4704-BEA3-63E5B364BD0D}"/>
    <hyperlink ref="B6:C6" location="'VKS PAMATA DATI'!A1" display="VKS PAMATA DATI" xr:uid="{E685A61C-663F-4EC4-90D2-F4A3275F9685}"/>
    <hyperlink ref="B4:C4" location="IEVADS!A1" display="IEVADS" xr:uid="{18C73526-F2F9-423C-ADC0-DDB952FB50E8}"/>
    <hyperlink ref="B5:C5" location="PROCESS!A1" display="PROCESS" xr:uid="{24DB80BE-A6B7-43DB-9BBF-F07539B769FB}"/>
    <hyperlink ref="B7:C7" location="'FINANŠU MĒRĶU NOTEIKŠANA'!A1" display="FINANŠU MĒRĶU NOTEIKŠANA" xr:uid="{C52F6901-6F5C-4F03-9E4C-F274AA7CC557}"/>
    <hyperlink ref="G39" location="'FINANŠU MĒRĶU NOTEIKŠANA'!A1" display="#'FINANŠU MĒRĶU NOTEIKŠANA'!A1" xr:uid="{3B812774-A258-4BFB-842A-20CBBA3E3F9F}"/>
    <hyperlink ref="G54" location="'FINANŠU MĒRĶU NOTEIKŠANA'!A1" display="#'FINANŠU MĒRĶU NOTEIKŠANA'!A1" xr:uid="{7E14F255-E014-431A-A2A8-F71CA0215CCF}"/>
    <hyperlink ref="G62" location="'FINANŠU MĒRĶU NOTEIKŠANA'!A1" display="#'FINANŠU MĒRĶU NOTEIKŠANA'!A1" xr:uid="{47303F5A-9962-4441-8B78-670A8D8F3EA0}"/>
    <hyperlink ref="K57" location="'FINANŠU MĒRĶU NOTEIKŠANA'!A1" display="#'FINANŠU MĒRĶU NOTEIKŠANA'!A1" xr:uid="{3FA8F44C-7595-4857-897F-CFE1D6A1A17A}"/>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F43A1-0939-4474-AFA7-775DAC06DF2B}">
  <sheetPr>
    <tabColor rgb="FF7030A0"/>
  </sheetPr>
  <dimension ref="B2:B3"/>
  <sheetViews>
    <sheetView showGridLines="0" workbookViewId="0">
      <selection activeCell="D11" sqref="D11"/>
    </sheetView>
  </sheetViews>
  <sheetFormatPr defaultRowHeight="14.4" x14ac:dyDescent="0.3"/>
  <sheetData>
    <row r="2" spans="2:2" x14ac:dyDescent="0.3">
      <c r="B2" s="364" t="s">
        <v>462</v>
      </c>
    </row>
    <row r="3" spans="2:2" x14ac:dyDescent="0.3">
      <c r="B3" s="365" t="s">
        <v>463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158EC-F5BF-4CDB-8872-5190A0C184E5}">
  <sheetPr>
    <tabColor rgb="FFC00000"/>
  </sheetPr>
  <dimension ref="B3:F4"/>
  <sheetViews>
    <sheetView workbookViewId="0">
      <selection activeCell="M10" sqref="M10"/>
    </sheetView>
  </sheetViews>
  <sheetFormatPr defaultColWidth="9.21875" defaultRowHeight="13.8" x14ac:dyDescent="0.25"/>
  <cols>
    <col min="1" max="3" width="9.21875" style="61"/>
    <col min="4" max="4" width="13" style="61" customWidth="1"/>
    <col min="5" max="16384" width="9.21875" style="61"/>
  </cols>
  <sheetData>
    <row r="3" spans="2:6" ht="24.6" x14ac:dyDescent="0.4">
      <c r="B3" s="60" t="s">
        <v>460</v>
      </c>
    </row>
    <row r="4" spans="2:6" ht="24.6" x14ac:dyDescent="0.4">
      <c r="B4" s="60" t="s">
        <v>461</v>
      </c>
      <c r="E4" s="60" t="s">
        <v>231</v>
      </c>
      <c r="F4" s="6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DDD56-0F4E-41A3-98C3-7C4CCF50FE31}">
  <sheetPr>
    <tabColor rgb="FF002060"/>
  </sheetPr>
  <dimension ref="A2:Y72"/>
  <sheetViews>
    <sheetView showGridLines="0" zoomScale="85" zoomScaleNormal="85" workbookViewId="0">
      <selection activeCell="M10" sqref="M1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1.5546875" style="1" customWidth="1"/>
    <col min="7" max="7" width="13.77734375" style="3" bestFit="1" customWidth="1"/>
    <col min="8" max="8" width="33.21875" style="1" customWidth="1"/>
    <col min="9" max="9" width="12.44140625" style="3" customWidth="1"/>
    <col min="10" max="10" width="59.77734375" style="3" customWidth="1"/>
    <col min="11" max="11" width="25.21875" style="1" customWidth="1"/>
    <col min="12" max="12" width="1" style="1" customWidth="1"/>
    <col min="13" max="13" width="35.5546875" style="1" customWidth="1"/>
    <col min="14" max="14" width="12.44140625" style="3" customWidth="1"/>
    <col min="15" max="15" width="59.77734375" style="3" customWidth="1"/>
    <col min="16" max="16" width="25.21875" style="1" customWidth="1"/>
    <col min="17" max="17" width="16.77734375" style="1" customWidth="1"/>
    <col min="18" max="24" width="10.77734375" style="1" bestFit="1" customWidth="1"/>
    <col min="25" max="16384" width="9.21875" style="1"/>
  </cols>
  <sheetData>
    <row r="2" spans="2:25" ht="23.25" customHeight="1" x14ac:dyDescent="0.25">
      <c r="B2" s="374" t="s">
        <v>191</v>
      </c>
      <c r="C2" s="374"/>
      <c r="H2" s="241" t="s">
        <v>302</v>
      </c>
      <c r="I2" s="138"/>
      <c r="J2" s="138"/>
      <c r="K2" s="17"/>
      <c r="L2" s="128"/>
      <c r="M2" s="129"/>
      <c r="N2" s="138"/>
      <c r="O2" s="138"/>
      <c r="P2" s="17"/>
      <c r="Q2" s="17"/>
      <c r="R2" s="17"/>
      <c r="S2" s="17"/>
      <c r="T2" s="17"/>
      <c r="U2" s="17"/>
      <c r="V2" s="17"/>
      <c r="W2" s="17"/>
      <c r="X2" s="17"/>
    </row>
    <row r="3" spans="2:25" x14ac:dyDescent="0.25">
      <c r="B3" s="375" t="s">
        <v>192</v>
      </c>
      <c r="C3" s="375"/>
      <c r="H3" s="133"/>
      <c r="I3" s="130"/>
      <c r="J3" s="130"/>
      <c r="K3" s="133"/>
      <c r="L3" s="133"/>
      <c r="M3" s="133"/>
      <c r="N3" s="130"/>
      <c r="O3" s="130"/>
      <c r="P3" s="133"/>
    </row>
    <row r="4" spans="2:25" ht="30" customHeight="1" x14ac:dyDescent="0.25">
      <c r="B4" s="398" t="s">
        <v>189</v>
      </c>
      <c r="C4" s="398"/>
      <c r="G4" s="147"/>
      <c r="H4" s="386" t="s">
        <v>271</v>
      </c>
      <c r="I4" s="387"/>
      <c r="J4" s="387"/>
      <c r="K4" s="388"/>
      <c r="L4" s="197"/>
      <c r="M4" s="386" t="s">
        <v>296</v>
      </c>
      <c r="N4" s="387"/>
      <c r="O4" s="387"/>
      <c r="P4" s="388"/>
    </row>
    <row r="5" spans="2:25" ht="8.25" customHeight="1" x14ac:dyDescent="0.25">
      <c r="B5" s="131"/>
      <c r="C5" s="131"/>
      <c r="G5" s="147"/>
      <c r="H5" s="389"/>
      <c r="I5" s="390"/>
      <c r="J5" s="390"/>
      <c r="K5" s="391"/>
      <c r="L5" s="192"/>
      <c r="M5" s="389"/>
      <c r="N5" s="390"/>
      <c r="O5" s="390"/>
      <c r="P5" s="391"/>
    </row>
    <row r="6" spans="2:25" ht="47.25" customHeight="1" x14ac:dyDescent="0.25">
      <c r="B6" s="131"/>
      <c r="C6" s="131"/>
      <c r="H6" s="173" t="s">
        <v>272</v>
      </c>
      <c r="I6" s="173" t="s">
        <v>273</v>
      </c>
      <c r="J6" s="173" t="s">
        <v>297</v>
      </c>
      <c r="K6" s="173" t="s">
        <v>274</v>
      </c>
      <c r="L6" s="193"/>
      <c r="M6" s="175" t="s">
        <v>272</v>
      </c>
      <c r="N6" s="173" t="s">
        <v>273</v>
      </c>
      <c r="O6" s="173" t="s">
        <v>297</v>
      </c>
      <c r="P6" s="174" t="s">
        <v>274</v>
      </c>
    </row>
    <row r="7" spans="2:25" ht="5.25" customHeight="1" x14ac:dyDescent="0.25">
      <c r="B7" s="131"/>
      <c r="C7" s="131"/>
      <c r="H7" s="179"/>
      <c r="I7" s="180"/>
      <c r="J7" s="185"/>
      <c r="K7" s="182"/>
      <c r="L7" s="195"/>
      <c r="M7" s="183"/>
      <c r="N7" s="180"/>
      <c r="O7" s="181"/>
      <c r="P7" s="184"/>
    </row>
    <row r="8" spans="2:25" ht="81.75" customHeight="1" x14ac:dyDescent="0.25">
      <c r="B8" s="146"/>
      <c r="C8" s="146"/>
      <c r="G8" s="395" t="s">
        <v>338</v>
      </c>
      <c r="H8" s="159" t="s">
        <v>288</v>
      </c>
      <c r="I8" s="238"/>
      <c r="J8" s="155" t="s">
        <v>303</v>
      </c>
      <c r="K8" s="161"/>
      <c r="L8" s="194"/>
      <c r="M8" s="159" t="s">
        <v>280</v>
      </c>
      <c r="N8" s="139"/>
      <c r="O8" s="354" t="s">
        <v>441</v>
      </c>
      <c r="P8" s="132"/>
      <c r="Q8" s="141"/>
      <c r="R8" s="134"/>
      <c r="S8" s="134"/>
      <c r="T8" s="134"/>
      <c r="U8" s="134"/>
      <c r="V8" s="134"/>
      <c r="W8" s="134"/>
      <c r="X8" s="134"/>
    </row>
    <row r="9" spans="2:25" ht="5.25" customHeight="1" x14ac:dyDescent="0.25">
      <c r="B9" s="146"/>
      <c r="C9" s="146"/>
      <c r="G9" s="396"/>
      <c r="H9" s="179"/>
      <c r="I9" s="180"/>
      <c r="J9" s="181"/>
      <c r="K9" s="182"/>
      <c r="L9" s="195"/>
      <c r="M9" s="183"/>
      <c r="N9" s="180"/>
      <c r="O9" s="181"/>
      <c r="P9" s="184"/>
      <c r="Q9" s="134"/>
      <c r="R9" s="137"/>
      <c r="S9" s="137"/>
      <c r="T9" s="137"/>
      <c r="U9" s="137"/>
      <c r="V9" s="137"/>
      <c r="W9" s="134"/>
      <c r="X9" s="134"/>
    </row>
    <row r="10" spans="2:25" ht="81.75" customHeight="1" x14ac:dyDescent="0.25">
      <c r="B10" s="146"/>
      <c r="C10" s="146"/>
      <c r="G10" s="396"/>
      <c r="H10" s="159" t="s">
        <v>275</v>
      </c>
      <c r="I10" s="145"/>
      <c r="J10" s="156" t="s">
        <v>304</v>
      </c>
      <c r="K10" s="161"/>
      <c r="L10" s="194"/>
      <c r="M10" s="159" t="s">
        <v>281</v>
      </c>
      <c r="N10" s="139"/>
      <c r="O10" s="354" t="s">
        <v>441</v>
      </c>
      <c r="P10" s="152"/>
      <c r="Q10" s="141"/>
      <c r="R10" s="134"/>
      <c r="S10" s="134"/>
      <c r="T10" s="134"/>
      <c r="U10" s="134"/>
      <c r="V10" s="134"/>
      <c r="W10" s="134"/>
      <c r="X10" s="134"/>
    </row>
    <row r="11" spans="2:25" ht="5.25" customHeight="1" x14ac:dyDescent="0.25">
      <c r="B11" s="131"/>
      <c r="C11" s="131"/>
      <c r="G11" s="396"/>
      <c r="H11" s="179"/>
      <c r="I11" s="180"/>
      <c r="J11" s="185"/>
      <c r="K11" s="182"/>
      <c r="L11" s="195"/>
      <c r="M11" s="183"/>
      <c r="N11" s="180"/>
      <c r="O11" s="181"/>
      <c r="P11" s="184"/>
      <c r="Q11" s="134"/>
      <c r="R11" s="137"/>
      <c r="S11" s="137"/>
      <c r="T11" s="137"/>
      <c r="U11" s="137"/>
      <c r="V11" s="137"/>
      <c r="W11" s="134"/>
      <c r="X11" s="134"/>
    </row>
    <row r="12" spans="2:25" ht="81.75" customHeight="1" x14ac:dyDescent="0.25">
      <c r="B12" s="131"/>
      <c r="C12" s="131"/>
      <c r="G12" s="396"/>
      <c r="H12" s="159" t="s">
        <v>276</v>
      </c>
      <c r="I12" s="145"/>
      <c r="J12" s="156" t="s">
        <v>305</v>
      </c>
      <c r="K12" s="161"/>
      <c r="L12" s="194"/>
      <c r="M12" s="159" t="s">
        <v>282</v>
      </c>
      <c r="N12" s="139"/>
      <c r="O12" s="354" t="s">
        <v>441</v>
      </c>
      <c r="P12" s="132"/>
      <c r="Q12" s="141"/>
      <c r="R12" s="134"/>
      <c r="S12" s="134"/>
      <c r="T12" s="134"/>
      <c r="U12" s="134"/>
      <c r="V12" s="134"/>
      <c r="W12" s="134"/>
      <c r="X12" s="134"/>
      <c r="Y12" s="134"/>
    </row>
    <row r="13" spans="2:25" ht="5.25" customHeight="1" x14ac:dyDescent="0.25">
      <c r="B13" s="131"/>
      <c r="C13" s="131"/>
      <c r="G13" s="396"/>
      <c r="H13" s="179"/>
      <c r="I13" s="180"/>
      <c r="J13" s="185"/>
      <c r="K13" s="186"/>
      <c r="L13" s="195"/>
      <c r="M13" s="183"/>
      <c r="N13" s="180"/>
      <c r="O13" s="181"/>
      <c r="P13" s="184"/>
      <c r="Q13" s="134"/>
      <c r="R13" s="137"/>
      <c r="S13" s="137"/>
      <c r="T13" s="137"/>
      <c r="U13" s="137"/>
      <c r="V13" s="137"/>
      <c r="W13" s="134"/>
      <c r="X13" s="134"/>
      <c r="Y13" s="134"/>
    </row>
    <row r="14" spans="2:25" s="134" customFormat="1" ht="81.75" customHeight="1" x14ac:dyDescent="0.3">
      <c r="B14" s="135"/>
      <c r="C14" s="135"/>
      <c r="E14" s="136"/>
      <c r="G14" s="397"/>
      <c r="H14" s="176"/>
      <c r="I14" s="150"/>
      <c r="J14" s="157"/>
      <c r="K14" s="162"/>
      <c r="L14" s="194"/>
      <c r="M14" s="159" t="s">
        <v>283</v>
      </c>
      <c r="N14" s="139"/>
      <c r="O14" s="354" t="s">
        <v>441</v>
      </c>
      <c r="P14" s="153"/>
      <c r="Q14" s="141"/>
    </row>
    <row r="15" spans="2:25" s="134" customFormat="1" ht="5.25" customHeight="1" x14ac:dyDescent="0.3">
      <c r="B15" s="135"/>
      <c r="C15" s="135"/>
      <c r="E15" s="136"/>
      <c r="G15" s="177"/>
      <c r="H15" s="164"/>
      <c r="I15" s="165"/>
      <c r="J15" s="165"/>
      <c r="K15" s="166"/>
      <c r="L15" s="195"/>
      <c r="M15" s="167"/>
      <c r="N15" s="165"/>
      <c r="O15" s="165"/>
      <c r="P15" s="168"/>
    </row>
    <row r="16" spans="2:25" s="134" customFormat="1" ht="81.75" customHeight="1" x14ac:dyDescent="0.3">
      <c r="E16" s="136"/>
      <c r="G16" s="392" t="s">
        <v>339</v>
      </c>
      <c r="H16" s="159" t="s">
        <v>277</v>
      </c>
      <c r="I16" s="140"/>
      <c r="J16" s="156" t="s">
        <v>306</v>
      </c>
      <c r="K16" s="163"/>
      <c r="L16" s="194"/>
      <c r="M16" s="159" t="s">
        <v>308</v>
      </c>
      <c r="N16" s="140"/>
      <c r="O16" s="354" t="s">
        <v>441</v>
      </c>
      <c r="P16" s="151"/>
      <c r="Q16" s="141"/>
    </row>
    <row r="17" spans="1:25" s="134" customFormat="1" ht="5.25" customHeight="1" x14ac:dyDescent="0.3">
      <c r="B17" s="135"/>
      <c r="C17" s="135"/>
      <c r="E17" s="136"/>
      <c r="G17" s="393"/>
      <c r="H17" s="187"/>
      <c r="I17" s="188"/>
      <c r="J17" s="189"/>
      <c r="K17" s="190"/>
      <c r="L17" s="196"/>
      <c r="M17" s="187"/>
      <c r="N17" s="188"/>
      <c r="O17" s="189"/>
      <c r="P17" s="191"/>
      <c r="R17" s="137"/>
      <c r="S17" s="137"/>
      <c r="T17" s="137"/>
      <c r="U17" s="137"/>
      <c r="V17" s="137"/>
    </row>
    <row r="18" spans="1:25" s="134" customFormat="1" ht="81.75" customHeight="1" x14ac:dyDescent="0.3">
      <c r="E18" s="136"/>
      <c r="G18" s="393"/>
      <c r="H18" s="159" t="s">
        <v>278</v>
      </c>
      <c r="I18" s="140"/>
      <c r="J18" s="156" t="s">
        <v>307</v>
      </c>
      <c r="K18" s="163"/>
      <c r="L18" s="194"/>
      <c r="M18" s="159" t="s">
        <v>285</v>
      </c>
      <c r="N18" s="140"/>
      <c r="O18" s="354" t="s">
        <v>441</v>
      </c>
      <c r="P18" s="151"/>
      <c r="Q18" s="141"/>
    </row>
    <row r="19" spans="1:25" s="134" customFormat="1" ht="5.25" customHeight="1" x14ac:dyDescent="0.3">
      <c r="B19" s="135"/>
      <c r="C19" s="135"/>
      <c r="E19" s="136"/>
      <c r="G19" s="393"/>
      <c r="H19" s="187"/>
      <c r="I19" s="188"/>
      <c r="J19" s="189"/>
      <c r="K19" s="190"/>
      <c r="L19" s="196"/>
      <c r="M19" s="187"/>
      <c r="N19" s="188"/>
      <c r="O19" s="189"/>
      <c r="P19" s="191"/>
      <c r="R19" s="137"/>
      <c r="S19" s="137"/>
      <c r="T19" s="137"/>
      <c r="U19" s="137"/>
      <c r="V19" s="137"/>
    </row>
    <row r="20" spans="1:25" s="134" customFormat="1" ht="81.75" customHeight="1" x14ac:dyDescent="0.3">
      <c r="E20" s="136"/>
      <c r="G20" s="393"/>
      <c r="H20" s="159" t="s">
        <v>284</v>
      </c>
      <c r="I20" s="140"/>
      <c r="J20" s="156" t="s">
        <v>309</v>
      </c>
      <c r="K20" s="163"/>
      <c r="L20" s="194"/>
      <c r="M20" s="159" t="s">
        <v>286</v>
      </c>
      <c r="N20" s="140"/>
      <c r="O20" s="354" t="s">
        <v>441</v>
      </c>
      <c r="P20" s="151"/>
      <c r="Q20" s="141"/>
    </row>
    <row r="21" spans="1:25" s="134" customFormat="1" ht="5.25" customHeight="1" x14ac:dyDescent="0.3">
      <c r="E21" s="136"/>
      <c r="G21" s="393"/>
      <c r="H21" s="187"/>
      <c r="I21" s="188"/>
      <c r="J21" s="189"/>
      <c r="K21" s="190"/>
      <c r="L21" s="196"/>
      <c r="M21" s="187"/>
      <c r="N21" s="188"/>
      <c r="O21" s="189"/>
      <c r="P21" s="191"/>
      <c r="R21" s="137"/>
      <c r="S21" s="137"/>
      <c r="T21" s="137"/>
      <c r="U21" s="137"/>
      <c r="V21" s="137"/>
    </row>
    <row r="22" spans="1:25" s="134" customFormat="1" ht="81.75" customHeight="1" x14ac:dyDescent="0.3">
      <c r="E22" s="136"/>
      <c r="G22" s="394"/>
      <c r="H22" s="159" t="s">
        <v>279</v>
      </c>
      <c r="I22" s="140"/>
      <c r="J22" s="178" t="s">
        <v>310</v>
      </c>
      <c r="K22" s="163"/>
      <c r="L22" s="194"/>
      <c r="M22" s="160"/>
      <c r="N22" s="149"/>
      <c r="O22" s="158"/>
      <c r="P22" s="154"/>
      <c r="Q22" s="141"/>
    </row>
    <row r="23" spans="1:25" s="134" customFormat="1" ht="5.25" customHeight="1" x14ac:dyDescent="0.25">
      <c r="B23" s="135"/>
      <c r="C23" s="135"/>
      <c r="E23" s="136"/>
      <c r="G23" s="169"/>
      <c r="H23" s="170"/>
      <c r="I23" s="171"/>
      <c r="J23" s="171"/>
      <c r="K23" s="170"/>
      <c r="L23" s="198"/>
      <c r="M23" s="170"/>
      <c r="N23" s="171"/>
      <c r="O23" s="171"/>
      <c r="P23" s="172"/>
      <c r="Q23" s="1"/>
      <c r="R23" s="1"/>
      <c r="S23" s="1"/>
      <c r="T23" s="1"/>
      <c r="U23" s="1"/>
      <c r="V23" s="1"/>
      <c r="W23" s="1"/>
      <c r="X23" s="1"/>
    </row>
    <row r="24" spans="1:25" s="134" customFormat="1" ht="6" customHeight="1" x14ac:dyDescent="0.25">
      <c r="E24" s="136"/>
      <c r="G24" s="27"/>
      <c r="H24" s="1"/>
      <c r="I24" s="3"/>
      <c r="J24" s="3"/>
      <c r="K24" s="1"/>
      <c r="L24" s="1"/>
      <c r="M24" s="1"/>
      <c r="N24" s="3"/>
      <c r="O24" s="3"/>
      <c r="P24" s="1"/>
      <c r="Q24" s="1"/>
      <c r="R24" s="1"/>
      <c r="S24" s="1"/>
      <c r="T24" s="1"/>
      <c r="U24" s="1"/>
      <c r="V24" s="1"/>
      <c r="W24" s="1"/>
      <c r="X24" s="1"/>
    </row>
    <row r="25" spans="1:25" s="134" customFormat="1" ht="52.2" x14ac:dyDescent="0.25">
      <c r="B25" s="135"/>
      <c r="C25" s="135"/>
      <c r="E25" s="136"/>
      <c r="G25" s="239" t="s">
        <v>287</v>
      </c>
      <c r="H25" s="237" t="s">
        <v>298</v>
      </c>
      <c r="I25" s="3"/>
      <c r="J25" s="3"/>
      <c r="K25" s="1"/>
      <c r="L25" s="1"/>
      <c r="M25" s="1"/>
      <c r="N25" s="3"/>
      <c r="O25" s="3"/>
      <c r="P25" s="1"/>
      <c r="Q25" s="1"/>
      <c r="R25" s="1"/>
      <c r="S25" s="1"/>
      <c r="T25" s="1"/>
      <c r="U25" s="1"/>
      <c r="V25" s="1"/>
      <c r="W25" s="1"/>
      <c r="X25" s="1"/>
    </row>
    <row r="26" spans="1:25" s="134" customFormat="1" ht="52.2" x14ac:dyDescent="0.25">
      <c r="E26" s="136"/>
      <c r="G26" s="239" t="s">
        <v>290</v>
      </c>
      <c r="H26" s="237" t="s">
        <v>299</v>
      </c>
      <c r="I26" s="3"/>
      <c r="J26" s="3"/>
      <c r="K26" s="1"/>
      <c r="L26" s="1"/>
      <c r="M26" s="1"/>
      <c r="N26" s="3"/>
      <c r="O26" s="3"/>
      <c r="P26" s="1"/>
      <c r="Q26" s="1"/>
      <c r="R26" s="1"/>
      <c r="S26" s="1"/>
      <c r="T26" s="1"/>
      <c r="U26" s="1"/>
      <c r="V26" s="1"/>
      <c r="W26" s="1"/>
      <c r="X26" s="1"/>
    </row>
    <row r="27" spans="1:25" s="134" customFormat="1" ht="52.2" x14ac:dyDescent="0.25">
      <c r="B27" s="135"/>
      <c r="C27" s="135"/>
      <c r="E27" s="136"/>
      <c r="G27" s="239" t="s">
        <v>289</v>
      </c>
      <c r="H27" s="237" t="s">
        <v>300</v>
      </c>
      <c r="I27" s="3"/>
      <c r="J27" s="3"/>
      <c r="K27" s="1"/>
      <c r="L27" s="1"/>
      <c r="M27" s="1"/>
      <c r="N27" s="3"/>
      <c r="O27" s="3"/>
      <c r="P27" s="1"/>
      <c r="Q27" s="1"/>
      <c r="R27" s="1"/>
      <c r="S27" s="1"/>
      <c r="T27" s="1"/>
      <c r="U27" s="1"/>
      <c r="V27" s="1"/>
      <c r="W27" s="1"/>
      <c r="X27" s="1"/>
      <c r="Y27" s="1"/>
    </row>
    <row r="28" spans="1:25" ht="44.4" x14ac:dyDescent="0.25">
      <c r="A28" s="14"/>
      <c r="B28" s="14"/>
      <c r="C28" s="14"/>
      <c r="D28" s="14"/>
      <c r="E28" s="63"/>
      <c r="F28" s="14"/>
      <c r="G28" s="240" t="s">
        <v>7</v>
      </c>
      <c r="H28" s="237" t="s">
        <v>340</v>
      </c>
    </row>
    <row r="29" spans="1:25" ht="54.75" customHeight="1" x14ac:dyDescent="0.25">
      <c r="A29" s="14"/>
      <c r="B29" s="14"/>
      <c r="C29" s="14"/>
      <c r="D29" s="14"/>
      <c r="E29" s="63"/>
      <c r="F29" s="14"/>
      <c r="G29" s="134"/>
    </row>
    <row r="30" spans="1:25" ht="47.25" customHeight="1" x14ac:dyDescent="0.25">
      <c r="A30" s="14"/>
      <c r="B30" s="14"/>
      <c r="C30" s="14"/>
      <c r="D30" s="14"/>
      <c r="E30" s="63"/>
      <c r="F30" s="14"/>
      <c r="G30" s="27"/>
    </row>
    <row r="31" spans="1:25" ht="47.25" customHeight="1" x14ac:dyDescent="0.25">
      <c r="G31" s="27"/>
    </row>
    <row r="32" spans="1:25" ht="40.5" customHeight="1" x14ac:dyDescent="0.25">
      <c r="A32" s="14"/>
      <c r="B32" s="14"/>
      <c r="C32" s="14"/>
      <c r="D32" s="14"/>
      <c r="E32" s="63"/>
      <c r="F32" s="14"/>
      <c r="G32" s="27"/>
    </row>
    <row r="33" spans="1:7" ht="40.5" customHeight="1" x14ac:dyDescent="0.25">
      <c r="A33" s="14"/>
      <c r="B33" s="14"/>
      <c r="C33" s="14"/>
      <c r="D33" s="14"/>
      <c r="E33" s="63"/>
      <c r="F33" s="14"/>
    </row>
    <row r="34" spans="1:7" ht="40.5" customHeight="1" x14ac:dyDescent="0.25">
      <c r="A34" s="14"/>
      <c r="B34" s="14"/>
      <c r="C34" s="14"/>
      <c r="D34" s="14"/>
      <c r="E34" s="63"/>
      <c r="F34" s="14"/>
    </row>
    <row r="35" spans="1:7" ht="40.5" customHeight="1" x14ac:dyDescent="0.25">
      <c r="A35" s="14"/>
      <c r="B35" s="14"/>
      <c r="C35" s="14"/>
      <c r="D35" s="14"/>
      <c r="E35" s="63"/>
      <c r="F35" s="14"/>
    </row>
    <row r="36" spans="1:7" ht="40.5" customHeight="1" x14ac:dyDescent="0.25">
      <c r="A36" s="14"/>
      <c r="B36" s="14"/>
      <c r="C36" s="14"/>
      <c r="D36" s="14"/>
      <c r="E36" s="63"/>
      <c r="F36" s="14"/>
    </row>
    <row r="37" spans="1:7" x14ac:dyDescent="0.25">
      <c r="A37" s="14"/>
      <c r="B37" s="14"/>
      <c r="C37" s="14"/>
      <c r="D37" s="14"/>
      <c r="E37" s="63"/>
      <c r="F37" s="14"/>
    </row>
    <row r="38" spans="1:7" x14ac:dyDescent="0.25">
      <c r="A38" s="14"/>
      <c r="B38" s="14"/>
      <c r="C38" s="14"/>
      <c r="D38" s="14"/>
      <c r="E38" s="63"/>
      <c r="F38" s="14"/>
    </row>
    <row r="43" spans="1:7" x14ac:dyDescent="0.25">
      <c r="G43" s="27"/>
    </row>
    <row r="49" spans="1:7" x14ac:dyDescent="0.25">
      <c r="A49" s="14"/>
      <c r="B49" s="14"/>
      <c r="C49" s="14"/>
      <c r="D49" s="14"/>
      <c r="E49" s="63"/>
      <c r="F49" s="14"/>
    </row>
    <row r="54" spans="1:7" x14ac:dyDescent="0.25">
      <c r="G54" s="107"/>
    </row>
    <row r="60" spans="1:7" x14ac:dyDescent="0.25">
      <c r="A60" s="105"/>
      <c r="B60" s="105"/>
      <c r="C60" s="105"/>
      <c r="D60" s="105"/>
      <c r="E60" s="106"/>
      <c r="F60" s="105"/>
    </row>
    <row r="65" spans="1:7" x14ac:dyDescent="0.25">
      <c r="A65" s="1" t="s">
        <v>235</v>
      </c>
    </row>
    <row r="66" spans="1:7" x14ac:dyDescent="0.25">
      <c r="G66" s="27"/>
    </row>
    <row r="72" spans="1:7" x14ac:dyDescent="0.25">
      <c r="A72" s="14"/>
      <c r="B72" s="14"/>
      <c r="C72" s="14"/>
      <c r="D72" s="14"/>
      <c r="E72" s="63"/>
      <c r="F72" s="14"/>
    </row>
  </sheetData>
  <mergeCells count="7">
    <mergeCell ref="H4:K5"/>
    <mergeCell ref="M4:P5"/>
    <mergeCell ref="G16:G22"/>
    <mergeCell ref="G8:G14"/>
    <mergeCell ref="B2:C2"/>
    <mergeCell ref="B3:C3"/>
    <mergeCell ref="B4:C4"/>
  </mergeCells>
  <dataValidations count="1">
    <dataValidation type="list" allowBlank="1" showInputMessage="1" showErrorMessage="1" sqref="I8" xr:uid="{8B254F88-151D-4377-8B97-0E5477656CF0}">
      <formula1>$G$25:$G$29</formula1>
    </dataValidation>
  </dataValidations>
  <hyperlinks>
    <hyperlink ref="B4" location="'SOE DETAILS'!A1" display="SOE DETAILS" xr:uid="{6A590A99-4999-4FDD-82FE-BAA392DF7DC7}"/>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0FDBC-D317-4156-BF53-3F967A3CA6CD}">
  <sheetPr codeName="Sheet23">
    <tabColor theme="4" tint="-0.249977111117893"/>
  </sheetPr>
  <dimension ref="A2:AA196"/>
  <sheetViews>
    <sheetView showGridLines="0" zoomScale="70" zoomScaleNormal="70" workbookViewId="0"/>
  </sheetViews>
  <sheetFormatPr defaultColWidth="9.21875" defaultRowHeight="13.8" x14ac:dyDescent="0.25"/>
  <cols>
    <col min="1" max="1" width="1.5546875" style="1" customWidth="1"/>
    <col min="2" max="2" width="6.77734375" style="1" customWidth="1"/>
    <col min="3" max="3" width="13" style="1" customWidth="1"/>
    <col min="4" max="4" width="3.77734375" style="1" customWidth="1"/>
    <col min="5" max="5" width="1.5546875" style="62" customWidth="1"/>
    <col min="6" max="6" width="24.44140625" style="1" customWidth="1"/>
    <col min="7" max="7" width="39.77734375" style="1" customWidth="1"/>
    <col min="8" max="8" width="47" style="3" customWidth="1"/>
    <col min="9" max="9" width="9.21875" style="1" customWidth="1"/>
    <col min="10" max="10" width="46.44140625" style="1" customWidth="1"/>
    <col min="11" max="13" width="13.5546875" style="1" customWidth="1"/>
    <col min="14" max="19" width="15.5546875" style="1" customWidth="1"/>
    <col min="20" max="16384" width="9.21875" style="1"/>
  </cols>
  <sheetData>
    <row r="2" spans="2:27" ht="27" customHeight="1" x14ac:dyDescent="0.35">
      <c r="B2" s="374" t="s">
        <v>457</v>
      </c>
      <c r="C2" s="374"/>
      <c r="F2" s="246" t="s">
        <v>512</v>
      </c>
      <c r="G2" s="16"/>
      <c r="H2" s="34"/>
      <c r="I2" s="16"/>
      <c r="J2" s="16"/>
      <c r="K2" s="16"/>
      <c r="L2" s="16"/>
      <c r="M2" s="16"/>
      <c r="N2" s="16"/>
      <c r="O2" s="16"/>
      <c r="P2" s="16"/>
      <c r="Q2" s="16"/>
      <c r="R2" s="16"/>
      <c r="S2" s="16"/>
      <c r="T2" s="16"/>
      <c r="U2" s="16"/>
      <c r="V2" s="16"/>
      <c r="W2" s="16"/>
      <c r="X2" s="16"/>
      <c r="Y2" s="16"/>
      <c r="Z2" s="16"/>
      <c r="AA2" s="16"/>
    </row>
    <row r="3" spans="2:27" ht="19.95" customHeight="1" x14ac:dyDescent="0.35">
      <c r="B3" s="375" t="s">
        <v>458</v>
      </c>
      <c r="C3" s="375"/>
      <c r="F3" s="399" t="s">
        <v>586</v>
      </c>
      <c r="G3" s="399"/>
      <c r="H3" s="399"/>
      <c r="I3" s="10"/>
      <c r="J3" s="10"/>
      <c r="K3" s="10"/>
      <c r="L3" s="10"/>
      <c r="M3" s="10"/>
      <c r="N3" s="10"/>
      <c r="O3" s="10"/>
      <c r="P3" s="10"/>
      <c r="Q3" s="10"/>
      <c r="R3" s="10"/>
      <c r="S3" s="10"/>
      <c r="T3" s="10"/>
      <c r="U3" s="10"/>
      <c r="V3" s="10"/>
      <c r="W3" s="10"/>
      <c r="X3" s="10"/>
      <c r="Y3" s="10"/>
      <c r="Z3" s="10"/>
      <c r="AA3" s="10"/>
    </row>
    <row r="4" spans="2:27" ht="20.399999999999999" x14ac:dyDescent="0.25">
      <c r="B4" s="377" t="s">
        <v>464</v>
      </c>
      <c r="C4" s="377"/>
      <c r="F4" s="12" t="s">
        <v>513</v>
      </c>
      <c r="G4" s="11"/>
      <c r="H4" s="35"/>
      <c r="I4" s="11"/>
      <c r="J4" s="11"/>
      <c r="K4" s="11"/>
      <c r="L4" s="11"/>
      <c r="M4" s="11"/>
      <c r="N4" s="11"/>
      <c r="O4" s="11"/>
      <c r="P4" s="11"/>
      <c r="Q4" s="11"/>
      <c r="R4" s="11"/>
      <c r="S4" s="11"/>
      <c r="T4" s="11"/>
      <c r="U4" s="11"/>
      <c r="V4" s="11"/>
      <c r="W4" s="11"/>
      <c r="X4" s="11"/>
      <c r="Y4" s="11"/>
      <c r="Z4" s="11"/>
      <c r="AA4" s="11"/>
    </row>
    <row r="5" spans="2:27" x14ac:dyDescent="0.25">
      <c r="B5" s="378" t="s">
        <v>593</v>
      </c>
      <c r="C5" s="378"/>
    </row>
    <row r="6" spans="2:27" ht="22.8" x14ac:dyDescent="0.25">
      <c r="B6" s="376" t="s">
        <v>459</v>
      </c>
      <c r="C6" s="376"/>
      <c r="F6" s="242" t="s">
        <v>481</v>
      </c>
      <c r="G6" s="236"/>
      <c r="H6" s="10"/>
      <c r="I6" s="10"/>
      <c r="J6" s="10"/>
      <c r="K6" s="10"/>
      <c r="L6" s="10"/>
      <c r="M6" s="10"/>
      <c r="N6" s="10"/>
      <c r="O6" s="10"/>
      <c r="P6" s="10"/>
      <c r="Q6" s="10"/>
      <c r="R6" s="10"/>
      <c r="S6" s="10"/>
      <c r="T6" s="10"/>
      <c r="U6" s="10"/>
      <c r="V6" s="10"/>
      <c r="W6" s="10"/>
      <c r="X6" s="10"/>
      <c r="Y6" s="10"/>
      <c r="Z6" s="10"/>
      <c r="AA6" s="10"/>
    </row>
    <row r="7" spans="2:27" ht="25.95" customHeight="1" x14ac:dyDescent="0.25">
      <c r="B7" s="373" t="s">
        <v>594</v>
      </c>
      <c r="C7" s="373"/>
    </row>
    <row r="8" spans="2:27" ht="20.25" customHeight="1" x14ac:dyDescent="0.25">
      <c r="C8" s="405" t="s">
        <v>481</v>
      </c>
      <c r="F8" s="206" t="s">
        <v>514</v>
      </c>
      <c r="G8" s="72"/>
      <c r="H8" s="72"/>
      <c r="I8" s="207"/>
      <c r="J8" s="207"/>
      <c r="K8" s="207"/>
      <c r="L8" s="207"/>
      <c r="M8" s="207"/>
      <c r="N8" s="207"/>
      <c r="O8" s="207"/>
      <c r="P8" s="207"/>
      <c r="Q8" s="207"/>
      <c r="R8" s="207"/>
      <c r="S8" s="207"/>
      <c r="T8" s="207"/>
      <c r="U8" s="207"/>
      <c r="V8" s="207"/>
      <c r="W8" s="207"/>
      <c r="X8" s="207"/>
      <c r="Y8" s="207"/>
      <c r="Z8" s="207"/>
      <c r="AA8" s="207"/>
    </row>
    <row r="9" spans="2:27" ht="20.25" customHeight="1" x14ac:dyDescent="0.25">
      <c r="C9" s="405"/>
      <c r="F9" s="207"/>
      <c r="G9" s="207"/>
      <c r="H9" s="72"/>
      <c r="I9" s="207"/>
      <c r="J9" s="207"/>
      <c r="K9" s="207"/>
      <c r="L9" s="207"/>
      <c r="M9" s="207"/>
      <c r="N9" s="207"/>
      <c r="O9" s="207"/>
      <c r="P9" s="207"/>
      <c r="Q9" s="207"/>
      <c r="R9" s="207"/>
      <c r="S9" s="207"/>
      <c r="T9" s="207"/>
      <c r="U9" s="207"/>
      <c r="V9" s="207"/>
      <c r="W9" s="207"/>
      <c r="X9" s="207"/>
      <c r="Y9" s="207"/>
      <c r="Z9" s="207"/>
      <c r="AA9" s="207"/>
    </row>
    <row r="10" spans="2:27" ht="20.25" customHeight="1" x14ac:dyDescent="0.25">
      <c r="C10" s="405"/>
      <c r="F10" s="207"/>
      <c r="G10" s="207"/>
      <c r="H10" s="72"/>
      <c r="I10" s="207"/>
      <c r="J10" s="207"/>
      <c r="K10" s="207"/>
      <c r="L10" s="207"/>
      <c r="M10" s="207"/>
      <c r="N10" s="207"/>
      <c r="O10" s="207"/>
      <c r="P10" s="207"/>
      <c r="Q10" s="207"/>
      <c r="R10" s="207"/>
      <c r="S10" s="207"/>
      <c r="T10" s="207"/>
      <c r="U10" s="207"/>
      <c r="V10" s="207"/>
      <c r="W10" s="207"/>
      <c r="X10" s="207"/>
      <c r="Y10" s="207"/>
      <c r="Z10" s="207"/>
      <c r="AA10" s="207"/>
    </row>
    <row r="11" spans="2:27" ht="20.25" customHeight="1" x14ac:dyDescent="0.25">
      <c r="C11" s="405"/>
      <c r="F11" s="207"/>
      <c r="G11" s="207"/>
      <c r="H11" s="72"/>
      <c r="I11" s="207"/>
      <c r="J11" s="207"/>
      <c r="K11" s="207"/>
      <c r="L11" s="207"/>
      <c r="M11" s="207"/>
      <c r="N11" s="207"/>
      <c r="O11" s="207"/>
      <c r="P11" s="207"/>
      <c r="Q11" s="207"/>
      <c r="R11" s="207"/>
      <c r="S11" s="207"/>
      <c r="T11" s="207"/>
      <c r="U11" s="207"/>
      <c r="V11" s="207"/>
      <c r="W11" s="207"/>
      <c r="X11" s="207"/>
      <c r="Y11" s="207"/>
      <c r="Z11" s="207"/>
      <c r="AA11" s="207"/>
    </row>
    <row r="12" spans="2:27" ht="20.25" customHeight="1" x14ac:dyDescent="0.25">
      <c r="C12" s="405"/>
      <c r="F12" s="207"/>
      <c r="G12" s="207"/>
      <c r="H12" s="72"/>
      <c r="I12" s="207"/>
      <c r="J12" s="207"/>
      <c r="K12" s="207"/>
      <c r="L12" s="207"/>
      <c r="M12" s="207"/>
      <c r="N12" s="207"/>
      <c r="O12" s="207"/>
      <c r="P12" s="207"/>
      <c r="Q12" s="207"/>
      <c r="R12" s="207"/>
      <c r="S12" s="207"/>
      <c r="T12" s="207"/>
      <c r="U12" s="207"/>
      <c r="V12" s="207"/>
      <c r="W12" s="207"/>
      <c r="X12" s="207"/>
      <c r="Y12" s="207"/>
      <c r="Z12" s="207"/>
      <c r="AA12" s="207"/>
    </row>
    <row r="13" spans="2:27" x14ac:dyDescent="0.25">
      <c r="C13" s="405"/>
      <c r="F13" s="207"/>
      <c r="G13" s="207"/>
      <c r="H13" s="72"/>
      <c r="I13" s="207"/>
      <c r="J13" s="207"/>
      <c r="K13" s="207"/>
      <c r="M13" s="207"/>
      <c r="N13" s="207"/>
      <c r="O13" s="207"/>
      <c r="P13" s="207"/>
      <c r="Q13" s="207"/>
      <c r="R13" s="207"/>
      <c r="S13" s="207"/>
      <c r="T13" s="207"/>
      <c r="U13" s="207"/>
      <c r="V13" s="207"/>
      <c r="W13" s="207"/>
      <c r="X13" s="207"/>
      <c r="Y13" s="207"/>
      <c r="Z13" s="207"/>
      <c r="AA13" s="207"/>
    </row>
    <row r="14" spans="2:27" x14ac:dyDescent="0.25">
      <c r="C14" s="405"/>
      <c r="F14" s="207"/>
      <c r="G14" s="207"/>
      <c r="H14" s="72"/>
      <c r="I14" s="207"/>
      <c r="J14" s="207"/>
      <c r="K14" s="207"/>
      <c r="M14" s="207"/>
      <c r="N14" s="207"/>
      <c r="O14" s="207"/>
      <c r="P14" s="207"/>
      <c r="Q14" s="207"/>
      <c r="R14" s="207"/>
      <c r="S14" s="207"/>
      <c r="T14" s="207"/>
      <c r="U14" s="207"/>
      <c r="V14" s="207"/>
      <c r="W14" s="207"/>
      <c r="X14" s="207"/>
      <c r="Y14" s="207"/>
      <c r="Z14" s="207"/>
      <c r="AA14" s="207"/>
    </row>
    <row r="15" spans="2:27" x14ac:dyDescent="0.25">
      <c r="C15" s="405"/>
      <c r="F15" s="207"/>
      <c r="G15" s="207"/>
      <c r="H15" s="72"/>
      <c r="I15" s="207"/>
      <c r="J15" s="207"/>
      <c r="K15" s="207"/>
      <c r="L15" s="209" t="s">
        <v>515</v>
      </c>
      <c r="M15" s="207"/>
      <c r="N15" s="207"/>
      <c r="O15" s="207"/>
      <c r="P15" s="207"/>
      <c r="Q15" s="207"/>
      <c r="R15" s="207"/>
      <c r="S15" s="207"/>
      <c r="T15" s="207"/>
      <c r="U15" s="207"/>
      <c r="V15" s="207"/>
      <c r="W15" s="207"/>
      <c r="X15" s="207"/>
      <c r="Y15" s="207"/>
      <c r="Z15" s="207"/>
      <c r="AA15" s="207"/>
    </row>
    <row r="16" spans="2:27" x14ac:dyDescent="0.25">
      <c r="C16" s="405"/>
      <c r="F16" s="207"/>
      <c r="G16" s="207"/>
      <c r="H16" s="72"/>
      <c r="I16" s="207"/>
      <c r="J16" s="207"/>
      <c r="K16" s="207"/>
      <c r="L16" s="207" t="s">
        <v>576</v>
      </c>
      <c r="M16" s="207"/>
      <c r="N16" s="207"/>
      <c r="O16" s="207"/>
      <c r="P16" s="207"/>
      <c r="Q16" s="207"/>
      <c r="R16" s="207"/>
      <c r="S16" s="207"/>
      <c r="T16" s="207"/>
      <c r="U16" s="207"/>
      <c r="V16" s="207"/>
      <c r="W16" s="207"/>
      <c r="X16" s="207"/>
      <c r="Y16" s="207"/>
      <c r="Z16" s="207"/>
      <c r="AA16" s="207"/>
    </row>
    <row r="17" spans="3:27" x14ac:dyDescent="0.25">
      <c r="C17" s="405"/>
      <c r="F17" s="207"/>
      <c r="G17" s="207"/>
      <c r="H17" s="72"/>
      <c r="I17" s="207"/>
      <c r="J17" s="207"/>
      <c r="K17" s="207"/>
      <c r="L17" s="208" t="s">
        <v>201</v>
      </c>
      <c r="M17" s="207"/>
      <c r="N17" s="207"/>
      <c r="O17" s="207"/>
      <c r="P17" s="207"/>
      <c r="Q17" s="207"/>
      <c r="R17" s="207"/>
      <c r="S17" s="207"/>
      <c r="T17" s="207"/>
      <c r="U17" s="207"/>
      <c r="V17" s="207"/>
      <c r="W17" s="207"/>
      <c r="X17" s="207"/>
      <c r="Y17" s="207"/>
      <c r="Z17" s="207"/>
      <c r="AA17" s="207"/>
    </row>
    <row r="18" spans="3:27" x14ac:dyDescent="0.25">
      <c r="C18" s="405"/>
      <c r="F18" s="207"/>
      <c r="G18" s="207"/>
      <c r="H18" s="72"/>
      <c r="I18" s="207"/>
      <c r="J18" s="207"/>
      <c r="K18" s="207"/>
      <c r="L18" s="207"/>
      <c r="M18" s="207"/>
      <c r="N18" s="207"/>
      <c r="O18" s="207"/>
      <c r="P18" s="207"/>
      <c r="Q18" s="207"/>
      <c r="R18" s="207"/>
      <c r="S18" s="207"/>
      <c r="T18" s="207"/>
      <c r="U18" s="207"/>
      <c r="V18" s="207"/>
      <c r="W18" s="207"/>
      <c r="X18" s="207"/>
      <c r="Y18" s="207"/>
      <c r="Z18" s="207"/>
      <c r="AA18" s="207"/>
    </row>
    <row r="19" spans="3:27" x14ac:dyDescent="0.25">
      <c r="C19" s="405"/>
      <c r="F19" s="207"/>
      <c r="G19" s="207"/>
      <c r="H19" s="72"/>
      <c r="I19" s="207"/>
      <c r="J19" s="207"/>
      <c r="K19" s="207"/>
      <c r="L19" s="207"/>
      <c r="M19" s="207"/>
      <c r="N19" s="207"/>
      <c r="O19" s="207"/>
      <c r="P19" s="207"/>
      <c r="Q19" s="207"/>
      <c r="R19" s="207"/>
      <c r="S19" s="207"/>
      <c r="T19" s="207"/>
      <c r="U19" s="207"/>
      <c r="V19" s="207"/>
      <c r="W19" s="207"/>
      <c r="X19" s="207"/>
      <c r="Y19" s="207"/>
      <c r="Z19" s="207"/>
      <c r="AA19" s="207"/>
    </row>
    <row r="20" spans="3:27" x14ac:dyDescent="0.25">
      <c r="C20" s="405"/>
      <c r="F20" s="207"/>
      <c r="G20" s="207"/>
      <c r="H20" s="72"/>
      <c r="I20" s="207"/>
      <c r="J20" s="207"/>
      <c r="K20" s="207"/>
      <c r="L20" s="207"/>
      <c r="M20" s="207"/>
      <c r="N20" s="207"/>
      <c r="O20" s="207"/>
      <c r="P20" s="207"/>
      <c r="Q20" s="207"/>
      <c r="R20" s="207"/>
      <c r="S20" s="207"/>
      <c r="T20" s="207"/>
      <c r="U20" s="207"/>
      <c r="V20" s="207"/>
      <c r="W20" s="207"/>
      <c r="X20" s="207"/>
      <c r="Y20" s="207"/>
      <c r="Z20" s="207"/>
      <c r="AA20" s="207"/>
    </row>
    <row r="21" spans="3:27" x14ac:dyDescent="0.25">
      <c r="C21" s="405"/>
      <c r="F21" s="207"/>
      <c r="G21" s="207"/>
      <c r="H21" s="72"/>
      <c r="I21" s="207"/>
      <c r="J21" s="207"/>
      <c r="K21" s="207"/>
      <c r="L21" s="207"/>
      <c r="M21" s="207"/>
      <c r="N21" s="207"/>
      <c r="O21" s="207"/>
      <c r="P21" s="207"/>
      <c r="Q21" s="207"/>
      <c r="R21" s="207"/>
      <c r="S21" s="207"/>
      <c r="T21" s="207"/>
      <c r="U21" s="207"/>
      <c r="V21" s="207"/>
      <c r="W21" s="207"/>
      <c r="X21" s="207"/>
      <c r="Y21" s="207"/>
      <c r="Z21" s="207"/>
      <c r="AA21" s="207"/>
    </row>
    <row r="22" spans="3:27" x14ac:dyDescent="0.25">
      <c r="C22" s="405"/>
      <c r="F22" s="207"/>
      <c r="G22" s="207"/>
      <c r="H22" s="72"/>
      <c r="I22" s="207"/>
      <c r="J22" s="207"/>
      <c r="K22" s="207"/>
      <c r="L22" s="207"/>
      <c r="M22" s="207"/>
      <c r="N22" s="207"/>
      <c r="O22" s="207"/>
      <c r="P22" s="207"/>
      <c r="Q22" s="207"/>
      <c r="R22" s="207"/>
      <c r="S22" s="207"/>
      <c r="T22" s="207"/>
      <c r="U22" s="207"/>
      <c r="V22" s="207"/>
      <c r="W22" s="207"/>
      <c r="X22" s="207"/>
      <c r="Y22" s="207"/>
      <c r="Z22" s="207"/>
      <c r="AA22" s="207"/>
    </row>
    <row r="23" spans="3:27" x14ac:dyDescent="0.25">
      <c r="C23" s="405"/>
      <c r="F23" s="207"/>
      <c r="G23" s="207"/>
      <c r="H23" s="72"/>
      <c r="I23" s="207"/>
      <c r="J23" s="207"/>
      <c r="K23" s="207"/>
      <c r="L23" s="207"/>
      <c r="M23" s="207"/>
      <c r="N23" s="207"/>
      <c r="O23" s="207"/>
      <c r="P23" s="207"/>
      <c r="Q23" s="207"/>
      <c r="R23" s="207"/>
      <c r="S23" s="207"/>
      <c r="T23" s="207"/>
      <c r="U23" s="207"/>
      <c r="V23" s="207"/>
      <c r="W23" s="207"/>
      <c r="X23" s="207"/>
      <c r="Y23" s="207"/>
      <c r="Z23" s="207"/>
      <c r="AA23" s="207"/>
    </row>
    <row r="24" spans="3:27" x14ac:dyDescent="0.25">
      <c r="C24" s="405"/>
      <c r="F24" s="207"/>
      <c r="G24" s="207"/>
      <c r="H24" s="72"/>
      <c r="I24" s="207"/>
      <c r="J24" s="207"/>
      <c r="K24" s="207"/>
      <c r="L24" s="207"/>
      <c r="M24" s="207"/>
      <c r="N24" s="207"/>
      <c r="O24" s="207"/>
      <c r="P24" s="207"/>
      <c r="Q24" s="207"/>
      <c r="R24" s="207"/>
      <c r="S24" s="207"/>
      <c r="T24" s="207"/>
      <c r="U24" s="207"/>
      <c r="V24" s="207"/>
      <c r="W24" s="207"/>
      <c r="X24" s="207"/>
      <c r="Y24" s="207"/>
      <c r="Z24" s="207"/>
      <c r="AA24" s="207"/>
    </row>
    <row r="25" spans="3:27" x14ac:dyDescent="0.25">
      <c r="C25" s="405"/>
      <c r="F25" s="209" t="s">
        <v>515</v>
      </c>
      <c r="G25" s="207"/>
      <c r="H25" s="72"/>
      <c r="I25" s="207"/>
      <c r="J25" s="207"/>
      <c r="K25" s="207"/>
      <c r="L25" s="207"/>
      <c r="M25" s="207"/>
      <c r="N25" s="207"/>
      <c r="O25" s="207"/>
      <c r="P25" s="207"/>
      <c r="Q25" s="207"/>
      <c r="R25" s="207"/>
      <c r="S25" s="207"/>
      <c r="T25" s="207"/>
      <c r="U25" s="207"/>
      <c r="V25" s="207"/>
      <c r="W25" s="207"/>
      <c r="X25" s="207"/>
      <c r="Y25" s="207"/>
      <c r="Z25" s="207"/>
      <c r="AA25" s="207"/>
    </row>
    <row r="26" spans="3:27" x14ac:dyDescent="0.25">
      <c r="C26" s="405"/>
      <c r="F26" s="207" t="s">
        <v>317</v>
      </c>
      <c r="G26" s="207"/>
      <c r="H26" s="72"/>
      <c r="I26" s="207"/>
      <c r="J26" s="207"/>
      <c r="K26" s="207"/>
      <c r="L26" s="207"/>
      <c r="M26" s="207"/>
      <c r="N26" s="207"/>
      <c r="O26" s="207"/>
      <c r="P26" s="207"/>
      <c r="Q26" s="207"/>
      <c r="R26" s="207"/>
      <c r="S26" s="207"/>
      <c r="T26" s="207"/>
      <c r="U26" s="207"/>
      <c r="V26" s="207"/>
      <c r="W26" s="207"/>
      <c r="X26" s="207"/>
      <c r="Y26" s="207"/>
      <c r="Z26" s="207"/>
      <c r="AA26" s="207"/>
    </row>
    <row r="27" spans="3:27" x14ac:dyDescent="0.25">
      <c r="C27" s="405"/>
      <c r="F27" s="207"/>
      <c r="G27" s="207"/>
      <c r="H27" s="72"/>
      <c r="I27" s="207"/>
      <c r="J27" s="207"/>
      <c r="K27" s="207"/>
      <c r="L27" s="207"/>
      <c r="M27" s="207"/>
      <c r="N27" s="207"/>
      <c r="O27" s="207"/>
      <c r="P27" s="207"/>
      <c r="Q27" s="207"/>
      <c r="R27" s="207"/>
      <c r="S27" s="207"/>
      <c r="T27" s="207"/>
      <c r="U27" s="207"/>
      <c r="V27" s="207"/>
      <c r="W27" s="207"/>
      <c r="X27" s="207"/>
      <c r="Y27" s="207"/>
      <c r="Z27" s="207"/>
      <c r="AA27" s="207"/>
    </row>
    <row r="28" spans="3:27" x14ac:dyDescent="0.25">
      <c r="C28" s="405"/>
    </row>
    <row r="29" spans="3:27" x14ac:dyDescent="0.25">
      <c r="C29" s="405"/>
      <c r="F29" s="1" t="s">
        <v>609</v>
      </c>
    </row>
    <row r="30" spans="3:27" x14ac:dyDescent="0.25">
      <c r="C30" s="405"/>
    </row>
    <row r="31" spans="3:27" x14ac:dyDescent="0.25">
      <c r="C31" s="405"/>
      <c r="G31" s="143" t="s">
        <v>566</v>
      </c>
      <c r="H31" s="144" t="s">
        <v>610</v>
      </c>
    </row>
    <row r="32" spans="3:27" x14ac:dyDescent="0.25">
      <c r="C32" s="405"/>
      <c r="G32" s="143" t="s">
        <v>567</v>
      </c>
      <c r="H32" s="144" t="s">
        <v>516</v>
      </c>
    </row>
    <row r="33" spans="3:27" x14ac:dyDescent="0.25">
      <c r="C33" s="405"/>
      <c r="G33" s="143" t="s">
        <v>568</v>
      </c>
      <c r="H33" s="144" t="s">
        <v>517</v>
      </c>
    </row>
    <row r="34" spans="3:27" x14ac:dyDescent="0.25">
      <c r="C34" s="405"/>
      <c r="G34" s="143" t="s">
        <v>569</v>
      </c>
      <c r="H34" s="144" t="s">
        <v>518</v>
      </c>
    </row>
    <row r="35" spans="3:27" x14ac:dyDescent="0.25">
      <c r="C35" s="405"/>
      <c r="G35" s="143" t="s">
        <v>570</v>
      </c>
      <c r="H35" s="144" t="s">
        <v>519</v>
      </c>
    </row>
    <row r="36" spans="3:27" x14ac:dyDescent="0.25">
      <c r="C36" s="405"/>
      <c r="G36" s="143" t="s">
        <v>571</v>
      </c>
      <c r="H36" s="144" t="s">
        <v>574</v>
      </c>
    </row>
    <row r="37" spans="3:27" x14ac:dyDescent="0.25">
      <c r="C37" s="405"/>
      <c r="G37" s="143" t="s">
        <v>572</v>
      </c>
      <c r="H37" s="144" t="s">
        <v>520</v>
      </c>
    </row>
    <row r="38" spans="3:27" x14ac:dyDescent="0.25">
      <c r="C38" s="405"/>
      <c r="G38" s="143" t="s">
        <v>573</v>
      </c>
      <c r="H38" s="144" t="s">
        <v>575</v>
      </c>
    </row>
    <row r="39" spans="3:27" x14ac:dyDescent="0.25">
      <c r="C39" s="405"/>
      <c r="G39" s="143"/>
      <c r="H39" s="142"/>
    </row>
    <row r="40" spans="3:27" x14ac:dyDescent="0.25">
      <c r="C40" s="405"/>
      <c r="F40" s="243" t="s">
        <v>521</v>
      </c>
      <c r="G40" s="244"/>
      <c r="H40" s="245"/>
      <c r="I40" s="245"/>
      <c r="J40" s="245"/>
      <c r="K40" s="245"/>
      <c r="L40" s="245"/>
      <c r="M40" s="245"/>
      <c r="N40" s="245"/>
      <c r="O40" s="245"/>
      <c r="P40" s="245"/>
      <c r="Q40" s="245"/>
      <c r="R40" s="245"/>
      <c r="S40" s="245"/>
      <c r="T40" s="245"/>
      <c r="U40" s="245"/>
      <c r="V40" s="245"/>
      <c r="W40" s="245"/>
      <c r="X40" s="245"/>
      <c r="Y40" s="245"/>
      <c r="Z40" s="245"/>
      <c r="AA40" s="245"/>
    </row>
    <row r="41" spans="3:27" x14ac:dyDescent="0.25">
      <c r="C41" s="405"/>
      <c r="G41" s="142"/>
      <c r="H41" s="142"/>
    </row>
    <row r="42" spans="3:27" ht="14.4" x14ac:dyDescent="0.25">
      <c r="C42" s="405"/>
      <c r="G42" s="2" t="s">
        <v>522</v>
      </c>
      <c r="H42" s="33"/>
      <c r="I42" s="29"/>
    </row>
    <row r="43" spans="3:27" x14ac:dyDescent="0.25">
      <c r="C43" s="405"/>
    </row>
    <row r="44" spans="3:27" s="14" customFormat="1" ht="14.4" x14ac:dyDescent="0.25">
      <c r="C44" s="405"/>
      <c r="E44" s="63"/>
      <c r="F44" s="1"/>
      <c r="G44" s="25" t="s">
        <v>523</v>
      </c>
      <c r="H44" s="33"/>
      <c r="I44" s="29"/>
    </row>
    <row r="45" spans="3:27" s="14" customFormat="1" ht="14.4" x14ac:dyDescent="0.25">
      <c r="C45" s="405"/>
      <c r="E45" s="63"/>
      <c r="F45" s="1"/>
      <c r="G45" s="25" t="str">
        <f>CONCATENATE(H42," (Zemākā robeža)")</f>
        <v xml:space="preserve"> (Zemākā robeža)</v>
      </c>
      <c r="H45" s="266">
        <f>'VKS PAMATA DATI'!G51</f>
        <v>0</v>
      </c>
      <c r="I45" s="29"/>
    </row>
    <row r="46" spans="3:27" s="14" customFormat="1" ht="14.4" x14ac:dyDescent="0.25">
      <c r="C46" s="405"/>
      <c r="E46" s="63"/>
      <c r="F46" s="1"/>
      <c r="G46" s="25" t="str">
        <f>CONCATENATE(H42," (Augšējā robeža)")</f>
        <v xml:space="preserve"> (Augšējā robeža)</v>
      </c>
      <c r="H46" s="266">
        <f>'VKS PAMATA DATI'!G52</f>
        <v>0</v>
      </c>
      <c r="I46" s="29"/>
    </row>
    <row r="47" spans="3:27" s="14" customFormat="1" ht="14.4" x14ac:dyDescent="0.25">
      <c r="C47" s="405"/>
      <c r="E47" s="63"/>
      <c r="F47" s="1"/>
      <c r="G47" s="25" t="s">
        <v>524</v>
      </c>
      <c r="H47" s="266">
        <f>AVERAGE(H45:H46)</f>
        <v>0</v>
      </c>
      <c r="I47" s="216" t="str">
        <f>CONCATENATE("Optimālās kapitāla attiecības rādītājs (viens no sviras faktoriem kredītreitingam)")</f>
        <v>Optimālās kapitāla attiecības rādītājs (viens no sviras faktoriem kredītreitingam)</v>
      </c>
    </row>
    <row r="48" spans="3:27" s="14" customFormat="1" x14ac:dyDescent="0.25">
      <c r="E48" s="63"/>
      <c r="F48" s="1"/>
      <c r="H48" s="27"/>
      <c r="I48" s="1"/>
      <c r="J48" s="1"/>
    </row>
    <row r="49" spans="3:27" ht="22.8" x14ac:dyDescent="0.25">
      <c r="C49" s="10"/>
      <c r="F49" s="242" t="s">
        <v>525</v>
      </c>
      <c r="G49" s="236"/>
      <c r="H49" s="10"/>
      <c r="I49" s="10"/>
      <c r="J49" s="10"/>
      <c r="K49" s="10"/>
      <c r="L49" s="10"/>
      <c r="M49" s="10"/>
      <c r="N49" s="10"/>
      <c r="O49" s="10"/>
      <c r="P49" s="10"/>
      <c r="Q49" s="10"/>
      <c r="R49" s="10"/>
      <c r="S49" s="10"/>
      <c r="T49" s="10"/>
      <c r="U49" s="10"/>
      <c r="V49" s="10"/>
      <c r="W49" s="10"/>
      <c r="X49" s="10"/>
      <c r="Y49" s="10"/>
      <c r="Z49" s="10"/>
      <c r="AA49" s="10"/>
    </row>
    <row r="50" spans="3:27" s="14" customFormat="1" x14ac:dyDescent="0.25">
      <c r="E50" s="63"/>
      <c r="F50" s="1"/>
      <c r="G50" s="40"/>
      <c r="H50" s="1"/>
      <c r="I50" s="1"/>
      <c r="J50" s="1"/>
      <c r="K50" s="1"/>
      <c r="L50" s="1"/>
      <c r="M50" s="1"/>
      <c r="N50" s="1"/>
      <c r="O50" s="1"/>
      <c r="P50" s="1"/>
      <c r="Q50" s="1"/>
      <c r="R50" s="1"/>
      <c r="S50" s="1"/>
      <c r="T50" s="1"/>
      <c r="U50" s="1"/>
      <c r="V50" s="1"/>
      <c r="W50" s="1"/>
      <c r="X50" s="1"/>
      <c r="Y50" s="1"/>
      <c r="Z50" s="1"/>
      <c r="AA50" s="1"/>
    </row>
    <row r="51" spans="3:27" s="14" customFormat="1" ht="15" customHeight="1" x14ac:dyDescent="0.25">
      <c r="C51" s="405" t="s">
        <v>525</v>
      </c>
      <c r="E51" s="63"/>
      <c r="F51" s="234" t="s">
        <v>530</v>
      </c>
      <c r="G51" s="40"/>
      <c r="H51" s="1"/>
      <c r="I51" s="1"/>
      <c r="J51" s="1"/>
      <c r="K51" s="1"/>
      <c r="L51" s="1"/>
      <c r="M51" s="1"/>
      <c r="N51" s="1"/>
      <c r="O51" s="1"/>
      <c r="P51" s="1"/>
      <c r="Q51" s="1"/>
      <c r="R51" s="1"/>
      <c r="S51" s="1"/>
      <c r="T51" s="1"/>
      <c r="U51" s="1"/>
      <c r="V51" s="1"/>
      <c r="W51" s="1"/>
      <c r="X51" s="1"/>
      <c r="Y51" s="1"/>
      <c r="Z51" s="1"/>
      <c r="AA51" s="1"/>
    </row>
    <row r="52" spans="3:27" s="14" customFormat="1" x14ac:dyDescent="0.25">
      <c r="C52" s="405"/>
      <c r="E52" s="63"/>
      <c r="F52" s="1"/>
      <c r="G52" s="40"/>
      <c r="H52" s="1"/>
      <c r="I52" s="1"/>
      <c r="J52" s="1"/>
      <c r="K52" s="1"/>
      <c r="L52" s="1"/>
      <c r="M52" s="1"/>
      <c r="N52" s="1"/>
      <c r="O52" s="1"/>
      <c r="P52" s="1"/>
      <c r="Q52" s="1"/>
      <c r="R52" s="1"/>
      <c r="S52" s="1"/>
      <c r="T52" s="1"/>
      <c r="U52" s="1"/>
      <c r="V52" s="1"/>
      <c r="W52" s="1"/>
      <c r="X52" s="1"/>
      <c r="Y52" s="1"/>
      <c r="Z52" s="1"/>
      <c r="AA52" s="1"/>
    </row>
    <row r="53" spans="3:27" s="14" customFormat="1" x14ac:dyDescent="0.25">
      <c r="C53" s="405"/>
      <c r="E53" s="63"/>
      <c r="F53" s="1"/>
      <c r="G53" s="40"/>
      <c r="H53" s="1"/>
      <c r="I53" s="1"/>
      <c r="J53" s="1"/>
      <c r="K53" s="1"/>
      <c r="L53" s="1"/>
      <c r="M53" s="1"/>
      <c r="N53" s="1"/>
      <c r="O53" s="1"/>
      <c r="P53" s="1"/>
      <c r="Q53" s="1"/>
      <c r="R53" s="1"/>
      <c r="S53" s="1"/>
      <c r="T53" s="1"/>
      <c r="U53" s="1"/>
      <c r="V53" s="1"/>
      <c r="W53" s="1"/>
      <c r="X53" s="1"/>
      <c r="Y53" s="1"/>
      <c r="Z53" s="1"/>
      <c r="AA53" s="1"/>
    </row>
    <row r="54" spans="3:27" s="14" customFormat="1" x14ac:dyDescent="0.25">
      <c r="C54" s="405"/>
      <c r="E54" s="63"/>
      <c r="F54" s="1"/>
      <c r="G54" s="40"/>
      <c r="H54" s="1"/>
      <c r="I54" s="1"/>
      <c r="J54" s="1"/>
      <c r="K54" s="1"/>
      <c r="L54" s="1"/>
      <c r="M54" s="1"/>
      <c r="N54" s="1"/>
      <c r="O54" s="1"/>
      <c r="P54" s="1"/>
      <c r="Q54" s="1"/>
      <c r="R54" s="1"/>
      <c r="S54" s="1"/>
      <c r="T54" s="1"/>
      <c r="U54" s="1"/>
      <c r="V54" s="1"/>
      <c r="W54" s="1"/>
      <c r="X54" s="1"/>
      <c r="Y54" s="1"/>
      <c r="Z54" s="1"/>
      <c r="AA54" s="1"/>
    </row>
    <row r="55" spans="3:27" s="14" customFormat="1" x14ac:dyDescent="0.25">
      <c r="C55" s="405"/>
      <c r="E55" s="63"/>
      <c r="F55" s="1"/>
      <c r="G55" s="40"/>
      <c r="H55" s="1"/>
      <c r="I55" s="1"/>
      <c r="J55" s="1"/>
      <c r="K55" s="1"/>
      <c r="L55" s="1"/>
      <c r="M55" s="1"/>
      <c r="N55" s="1"/>
      <c r="O55" s="1"/>
      <c r="P55" s="1"/>
      <c r="Q55" s="1"/>
      <c r="R55" s="1"/>
      <c r="S55" s="1"/>
      <c r="T55" s="1"/>
      <c r="U55" s="1"/>
      <c r="V55" s="1"/>
      <c r="W55" s="1"/>
      <c r="X55" s="1"/>
      <c r="Y55" s="1"/>
      <c r="Z55" s="1"/>
      <c r="AA55" s="1"/>
    </row>
    <row r="56" spans="3:27" s="14" customFormat="1" x14ac:dyDescent="0.25">
      <c r="C56" s="405"/>
      <c r="E56" s="63"/>
      <c r="F56" s="1"/>
      <c r="G56" s="40"/>
      <c r="H56" s="1"/>
      <c r="I56" s="1"/>
      <c r="J56" s="1"/>
      <c r="K56" s="1"/>
      <c r="L56" s="1"/>
      <c r="M56" s="1"/>
      <c r="N56" s="1"/>
      <c r="O56" s="1"/>
      <c r="P56" s="1"/>
      <c r="Q56" s="1"/>
      <c r="R56" s="1"/>
      <c r="S56" s="1"/>
      <c r="T56" s="1"/>
      <c r="U56" s="1"/>
      <c r="V56" s="1"/>
      <c r="W56" s="1"/>
      <c r="X56" s="1"/>
      <c r="Y56" s="1"/>
      <c r="Z56" s="1"/>
      <c r="AA56" s="1"/>
    </row>
    <row r="57" spans="3:27" s="14" customFormat="1" x14ac:dyDescent="0.25">
      <c r="C57" s="405"/>
      <c r="E57" s="63"/>
      <c r="F57" s="1"/>
      <c r="G57" s="40"/>
      <c r="H57" s="1"/>
      <c r="I57" s="1"/>
      <c r="J57" s="1"/>
      <c r="K57" s="1"/>
      <c r="L57" s="1"/>
      <c r="M57" s="1"/>
      <c r="N57" s="1"/>
      <c r="O57" s="1"/>
      <c r="P57" s="1"/>
      <c r="Q57" s="1"/>
      <c r="R57" s="1"/>
      <c r="S57" s="1"/>
      <c r="T57" s="1"/>
      <c r="U57" s="1"/>
      <c r="V57" s="1"/>
      <c r="W57" s="1"/>
      <c r="X57" s="1"/>
      <c r="Y57" s="1"/>
      <c r="Z57" s="1"/>
      <c r="AA57" s="1"/>
    </row>
    <row r="58" spans="3:27" s="14" customFormat="1" x14ac:dyDescent="0.25">
      <c r="C58" s="405"/>
      <c r="E58" s="63"/>
      <c r="F58" s="1"/>
      <c r="G58" s="40"/>
      <c r="H58" s="1"/>
      <c r="I58" s="1"/>
      <c r="J58" s="1"/>
      <c r="K58" s="1"/>
      <c r="L58" s="1"/>
      <c r="M58" s="1"/>
      <c r="N58" s="1"/>
      <c r="O58" s="1"/>
      <c r="P58" s="1"/>
      <c r="Q58" s="1"/>
      <c r="R58" s="1"/>
      <c r="S58" s="1"/>
      <c r="T58" s="1"/>
      <c r="U58" s="1"/>
      <c r="V58" s="1"/>
      <c r="W58" s="1"/>
      <c r="X58" s="1"/>
      <c r="Y58" s="1"/>
      <c r="Z58" s="1"/>
      <c r="AA58" s="1"/>
    </row>
    <row r="59" spans="3:27" s="14" customFormat="1" x14ac:dyDescent="0.25">
      <c r="C59" s="405"/>
      <c r="E59" s="63"/>
      <c r="F59" s="1"/>
      <c r="G59" s="40"/>
      <c r="H59" s="1"/>
      <c r="I59" s="1"/>
      <c r="J59" s="1"/>
      <c r="K59" s="1"/>
      <c r="L59" s="1"/>
      <c r="M59" s="1"/>
      <c r="N59" s="1"/>
      <c r="O59" s="1"/>
      <c r="P59" s="1"/>
      <c r="Q59" s="1"/>
      <c r="R59" s="1"/>
      <c r="S59" s="1"/>
      <c r="T59" s="1"/>
      <c r="U59" s="1"/>
      <c r="V59" s="1"/>
      <c r="W59" s="1"/>
      <c r="X59" s="1"/>
      <c r="Y59" s="1"/>
      <c r="Z59" s="1"/>
      <c r="AA59" s="1"/>
    </row>
    <row r="60" spans="3:27" s="14" customFormat="1" x14ac:dyDescent="0.25">
      <c r="C60" s="405"/>
      <c r="E60" s="63"/>
      <c r="F60" s="1"/>
      <c r="G60" s="40"/>
      <c r="H60" s="1"/>
      <c r="I60" s="1"/>
      <c r="J60" s="1"/>
      <c r="K60" s="1"/>
      <c r="L60" s="1"/>
      <c r="M60" s="1"/>
      <c r="N60" s="1"/>
      <c r="O60" s="1"/>
      <c r="P60" s="1"/>
      <c r="Q60" s="1"/>
      <c r="R60" s="1"/>
      <c r="S60" s="1"/>
      <c r="T60" s="1"/>
      <c r="U60" s="1"/>
      <c r="V60" s="1"/>
      <c r="W60" s="1"/>
      <c r="X60" s="1"/>
      <c r="Y60" s="1"/>
      <c r="Z60" s="1"/>
      <c r="AA60" s="1"/>
    </row>
    <row r="61" spans="3:27" s="14" customFormat="1" x14ac:dyDescent="0.25">
      <c r="C61" s="405"/>
      <c r="E61" s="63"/>
      <c r="F61" s="1"/>
      <c r="G61" s="40"/>
      <c r="H61" s="1"/>
      <c r="I61" s="1"/>
      <c r="J61" s="1"/>
      <c r="K61" s="1"/>
      <c r="L61" s="1"/>
      <c r="M61" s="1"/>
      <c r="N61" s="1"/>
      <c r="O61" s="1"/>
      <c r="P61" s="1"/>
      <c r="Q61" s="1"/>
      <c r="R61" s="1"/>
      <c r="S61" s="1"/>
      <c r="T61" s="1"/>
      <c r="U61" s="1"/>
      <c r="V61" s="1"/>
      <c r="W61" s="1"/>
      <c r="X61" s="1"/>
      <c r="Y61" s="1"/>
      <c r="Z61" s="1"/>
      <c r="AA61" s="1"/>
    </row>
    <row r="62" spans="3:27" s="14" customFormat="1" x14ac:dyDescent="0.25">
      <c r="C62" s="405"/>
      <c r="E62" s="63"/>
      <c r="F62" s="1"/>
      <c r="G62" s="40"/>
      <c r="H62" s="1"/>
      <c r="I62" s="1"/>
      <c r="J62" s="1"/>
      <c r="K62" s="1"/>
      <c r="L62" s="1"/>
      <c r="M62" s="1"/>
      <c r="N62" s="1"/>
      <c r="O62" s="1"/>
      <c r="P62" s="1"/>
      <c r="Q62" s="1"/>
      <c r="R62" s="1"/>
      <c r="S62" s="1"/>
      <c r="T62" s="1"/>
      <c r="U62" s="1"/>
      <c r="V62" s="1"/>
      <c r="W62" s="1"/>
      <c r="X62" s="1"/>
      <c r="Y62" s="1"/>
      <c r="Z62" s="1"/>
      <c r="AA62" s="1"/>
    </row>
    <row r="63" spans="3:27" s="217" customFormat="1" ht="14.25" customHeight="1" x14ac:dyDescent="0.25">
      <c r="C63" s="405"/>
      <c r="E63" s="62"/>
      <c r="F63" s="31"/>
      <c r="G63" s="31"/>
      <c r="H63" s="36"/>
      <c r="I63" s="31"/>
      <c r="J63" s="31"/>
      <c r="K63" s="36"/>
      <c r="L63" s="31"/>
      <c r="M63" s="31"/>
      <c r="N63" s="31"/>
      <c r="O63" s="31"/>
      <c r="P63" s="31"/>
      <c r="Q63" s="31"/>
      <c r="R63" s="31"/>
      <c r="S63" s="31"/>
      <c r="T63" s="31"/>
      <c r="U63" s="31"/>
      <c r="V63" s="31"/>
      <c r="W63" s="31"/>
      <c r="X63" s="31"/>
      <c r="Y63" s="31"/>
      <c r="Z63" s="31"/>
      <c r="AA63" s="31"/>
    </row>
    <row r="64" spans="3:27" s="217" customFormat="1" ht="14.25" customHeight="1" x14ac:dyDescent="0.25">
      <c r="C64" s="405"/>
      <c r="E64" s="62"/>
      <c r="F64" s="1"/>
      <c r="G64" s="1"/>
      <c r="H64" s="3"/>
      <c r="I64" s="1"/>
      <c r="J64" s="1"/>
      <c r="K64" s="3"/>
      <c r="L64" s="1"/>
      <c r="M64" s="1"/>
      <c r="N64" s="1"/>
      <c r="O64" s="1"/>
      <c r="P64" s="1"/>
      <c r="Q64" s="1"/>
      <c r="R64" s="1"/>
      <c r="S64" s="1"/>
      <c r="T64" s="1"/>
      <c r="U64" s="1"/>
      <c r="V64" s="1"/>
      <c r="W64" s="1"/>
      <c r="X64" s="1"/>
      <c r="Y64" s="1"/>
      <c r="Z64" s="1"/>
      <c r="AA64" s="1"/>
    </row>
    <row r="65" spans="3:27" s="217" customFormat="1" ht="14.25" customHeight="1" x14ac:dyDescent="0.25">
      <c r="C65" s="405"/>
      <c r="E65" s="218"/>
      <c r="F65" s="234" t="s">
        <v>531</v>
      </c>
      <c r="G65" s="220"/>
      <c r="H65" s="219"/>
      <c r="I65" s="219"/>
      <c r="J65" s="219"/>
      <c r="K65" s="219"/>
      <c r="L65" s="219"/>
      <c r="M65" s="219"/>
      <c r="N65" s="219"/>
      <c r="O65" s="219"/>
      <c r="P65" s="219"/>
      <c r="Q65" s="219"/>
      <c r="R65" s="219"/>
      <c r="S65" s="219"/>
      <c r="T65" s="219"/>
      <c r="U65" s="219"/>
      <c r="V65" s="219"/>
      <c r="W65" s="219"/>
      <c r="X65" s="219"/>
      <c r="Y65" s="219"/>
      <c r="Z65" s="219"/>
      <c r="AA65" s="219"/>
    </row>
    <row r="66" spans="3:27" s="217" customFormat="1" x14ac:dyDescent="0.25">
      <c r="C66" s="405"/>
      <c r="E66" s="218"/>
      <c r="F66" s="219"/>
      <c r="G66" s="25" t="s">
        <v>537</v>
      </c>
      <c r="H66" s="400" t="s">
        <v>485</v>
      </c>
      <c r="I66" s="401"/>
      <c r="J66" s="401"/>
      <c r="K66" s="247" t="s">
        <v>345</v>
      </c>
      <c r="L66" s="219" t="s">
        <v>546</v>
      </c>
      <c r="M66" s="219"/>
      <c r="N66" s="219"/>
      <c r="O66" s="219"/>
      <c r="P66" s="219"/>
      <c r="Q66" s="219"/>
      <c r="R66" s="219"/>
      <c r="S66" s="219"/>
      <c r="T66" s="219"/>
      <c r="U66" s="219"/>
      <c r="V66" s="219"/>
      <c r="W66" s="219"/>
      <c r="X66" s="219"/>
      <c r="Y66" s="219"/>
      <c r="Z66" s="219"/>
      <c r="AA66" s="219"/>
    </row>
    <row r="67" spans="3:27" s="217" customFormat="1" x14ac:dyDescent="0.25">
      <c r="C67" s="405"/>
      <c r="E67" s="218"/>
      <c r="F67" s="219"/>
      <c r="G67" s="25" t="s">
        <v>534</v>
      </c>
      <c r="H67" s="402" t="str">
        <f>IF(COUNTA('VKS PAMATA DATI'!J41:J55)&lt;&gt;0,COUNTA('VKS PAMATA DATI'!J41:J55),"")</f>
        <v/>
      </c>
      <c r="I67" s="402"/>
      <c r="J67" s="402"/>
      <c r="K67" s="247"/>
      <c r="L67" s="248"/>
      <c r="M67" s="219"/>
      <c r="N67" s="219"/>
      <c r="O67" s="219"/>
      <c r="P67" s="219"/>
      <c r="Q67" s="219"/>
      <c r="R67" s="219"/>
      <c r="S67" s="219"/>
      <c r="T67" s="219"/>
      <c r="U67" s="219"/>
      <c r="V67" s="219"/>
      <c r="W67" s="219"/>
      <c r="X67" s="219"/>
      <c r="Y67" s="219"/>
      <c r="Z67" s="219"/>
      <c r="AA67" s="219"/>
    </row>
    <row r="68" spans="3:27" s="217" customFormat="1" ht="13.5" customHeight="1" x14ac:dyDescent="0.25">
      <c r="C68" s="405"/>
      <c r="E68" s="218"/>
      <c r="F68" s="219"/>
      <c r="G68" s="25"/>
      <c r="H68" s="219"/>
      <c r="I68" s="219"/>
      <c r="J68" s="219"/>
      <c r="K68" s="247"/>
      <c r="L68" s="219"/>
      <c r="M68" s="219"/>
      <c r="N68" s="219"/>
      <c r="O68" s="219"/>
      <c r="P68" s="219"/>
      <c r="Q68" s="219"/>
      <c r="R68" s="219"/>
      <c r="S68" s="219"/>
      <c r="T68" s="219"/>
      <c r="U68" s="219"/>
      <c r="V68" s="219"/>
      <c r="W68" s="219"/>
      <c r="X68" s="219"/>
      <c r="Y68" s="219"/>
      <c r="Z68" s="219"/>
      <c r="AA68" s="219"/>
    </row>
    <row r="69" spans="3:27" s="217" customFormat="1" x14ac:dyDescent="0.25">
      <c r="C69" s="405"/>
      <c r="E69" s="218"/>
      <c r="F69" s="219"/>
      <c r="H69" s="225" t="s">
        <v>533</v>
      </c>
      <c r="I69" s="226"/>
      <c r="J69" s="228" t="s">
        <v>532</v>
      </c>
      <c r="K69" s="247"/>
      <c r="L69" s="219"/>
      <c r="M69" s="219"/>
      <c r="N69" s="219"/>
      <c r="O69" s="219"/>
      <c r="P69" s="219"/>
      <c r="Q69" s="219"/>
      <c r="R69" s="219"/>
      <c r="S69" s="219"/>
      <c r="T69" s="219"/>
      <c r="U69" s="219"/>
      <c r="V69" s="219"/>
      <c r="W69" s="219"/>
      <c r="X69" s="219"/>
      <c r="Y69" s="219"/>
      <c r="Z69" s="219"/>
      <c r="AA69" s="219"/>
    </row>
    <row r="70" spans="3:27" s="217" customFormat="1" x14ac:dyDescent="0.25">
      <c r="C70" s="405"/>
      <c r="E70" s="218"/>
      <c r="F70" s="219"/>
      <c r="G70" s="222"/>
      <c r="H70" s="224" t="s">
        <v>538</v>
      </c>
      <c r="I70" s="229"/>
      <c r="J70" s="224" t="s">
        <v>538</v>
      </c>
      <c r="K70" s="219"/>
      <c r="L70" s="219"/>
      <c r="M70" s="219"/>
      <c r="N70" s="219"/>
      <c r="O70" s="219"/>
      <c r="P70" s="219"/>
      <c r="Q70" s="219"/>
      <c r="R70" s="219"/>
      <c r="S70" s="219"/>
      <c r="T70" s="219"/>
      <c r="U70" s="219"/>
      <c r="V70" s="219"/>
      <c r="W70" s="219"/>
      <c r="X70" s="219"/>
      <c r="Y70" s="219"/>
      <c r="Z70" s="219"/>
      <c r="AA70" s="219"/>
    </row>
    <row r="71" spans="3:27" s="217" customFormat="1" x14ac:dyDescent="0.25">
      <c r="C71" s="405"/>
      <c r="E71" s="218"/>
      <c r="F71" s="219"/>
      <c r="G71" s="222" t="s">
        <v>535</v>
      </c>
      <c r="H71" s="223">
        <v>0.75</v>
      </c>
      <c r="I71" s="231"/>
      <c r="J71" s="227"/>
      <c r="K71" s="219"/>
      <c r="L71" s="219"/>
      <c r="M71" s="219"/>
      <c r="N71" s="219"/>
      <c r="O71" s="219"/>
      <c r="P71" s="219"/>
      <c r="Q71" s="219"/>
      <c r="R71" s="219"/>
      <c r="S71" s="219"/>
      <c r="T71" s="219"/>
      <c r="U71" s="219"/>
      <c r="V71" s="219"/>
      <c r="W71" s="219"/>
      <c r="X71" s="219"/>
      <c r="Y71" s="219"/>
      <c r="Z71" s="219"/>
      <c r="AA71" s="219"/>
    </row>
    <row r="72" spans="3:27" s="217" customFormat="1" x14ac:dyDescent="0.25">
      <c r="C72" s="405"/>
      <c r="E72" s="218"/>
      <c r="F72" s="219"/>
      <c r="G72" s="222" t="s">
        <v>536</v>
      </c>
      <c r="H72" s="223">
        <f>1-H71</f>
        <v>0.25</v>
      </c>
      <c r="I72" s="230"/>
      <c r="J72" s="227" t="str">
        <f>IF(1-J71=100%,"",1-J71)</f>
        <v/>
      </c>
      <c r="K72" s="219"/>
      <c r="L72" s="219"/>
      <c r="M72" s="219"/>
      <c r="N72" s="219"/>
      <c r="O72" s="219"/>
      <c r="P72" s="219"/>
      <c r="Q72" s="219"/>
      <c r="R72" s="219"/>
      <c r="S72" s="219"/>
      <c r="T72" s="219"/>
      <c r="U72" s="219"/>
      <c r="V72" s="219"/>
      <c r="W72" s="219"/>
      <c r="X72" s="219"/>
      <c r="Y72" s="219"/>
      <c r="Z72" s="219"/>
      <c r="AA72" s="219"/>
    </row>
    <row r="73" spans="3:27" s="217" customFormat="1" x14ac:dyDescent="0.25">
      <c r="C73" s="405"/>
      <c r="E73" s="218"/>
      <c r="F73" s="219"/>
      <c r="G73" s="222"/>
      <c r="H73" s="231" t="s">
        <v>542</v>
      </c>
      <c r="I73" s="229"/>
      <c r="J73" s="231" t="s">
        <v>542</v>
      </c>
      <c r="K73" s="221"/>
      <c r="L73" s="219"/>
      <c r="M73" s="219"/>
      <c r="N73" s="219"/>
      <c r="O73" s="219"/>
      <c r="P73" s="219"/>
      <c r="Q73" s="219"/>
      <c r="R73" s="219"/>
      <c r="S73" s="219"/>
      <c r="T73" s="219"/>
      <c r="U73" s="219"/>
      <c r="V73" s="219"/>
      <c r="W73" s="219"/>
      <c r="X73" s="219"/>
      <c r="Y73" s="219"/>
      <c r="Z73" s="219"/>
      <c r="AA73" s="219"/>
    </row>
    <row r="74" spans="3:27" s="217" customFormat="1" x14ac:dyDescent="0.25">
      <c r="C74" s="405"/>
      <c r="E74" s="218"/>
      <c r="F74" s="219"/>
      <c r="G74" s="222"/>
      <c r="H74" s="224" t="s">
        <v>544</v>
      </c>
      <c r="I74" s="230"/>
      <c r="J74" s="224" t="s">
        <v>544</v>
      </c>
      <c r="K74" s="219"/>
      <c r="L74" s="219"/>
      <c r="M74" s="219"/>
      <c r="N74" s="219"/>
      <c r="O74" s="219"/>
      <c r="P74" s="219"/>
      <c r="Q74" s="219"/>
      <c r="R74" s="219"/>
      <c r="S74" s="219"/>
      <c r="T74" s="219"/>
      <c r="U74" s="219"/>
      <c r="V74" s="219"/>
      <c r="W74" s="219"/>
      <c r="X74" s="219"/>
      <c r="Y74" s="219"/>
      <c r="Z74" s="219"/>
      <c r="AA74" s="219"/>
    </row>
    <row r="75" spans="3:27" s="217" customFormat="1" x14ac:dyDescent="0.25">
      <c r="C75" s="405"/>
      <c r="E75" s="218"/>
      <c r="F75" s="219"/>
      <c r="G75" s="222" t="s">
        <v>535</v>
      </c>
      <c r="H75" s="223">
        <v>0.5</v>
      </c>
      <c r="I75" s="231"/>
      <c r="J75" s="227"/>
      <c r="K75" s="219"/>
      <c r="L75" s="219"/>
      <c r="M75" s="219"/>
      <c r="N75" s="219"/>
      <c r="O75" s="219"/>
      <c r="P75" s="219"/>
      <c r="Q75" s="219"/>
      <c r="R75" s="219"/>
      <c r="S75" s="219"/>
      <c r="T75" s="219"/>
      <c r="U75" s="219"/>
      <c r="V75" s="219"/>
      <c r="W75" s="219"/>
      <c r="X75" s="219"/>
      <c r="Y75" s="219"/>
      <c r="Z75" s="219"/>
      <c r="AA75" s="219"/>
    </row>
    <row r="76" spans="3:27" s="217" customFormat="1" x14ac:dyDescent="0.25">
      <c r="C76" s="405"/>
      <c r="E76" s="218"/>
      <c r="F76" s="219"/>
      <c r="G76" s="222" t="s">
        <v>536</v>
      </c>
      <c r="H76" s="223">
        <f>1-H75</f>
        <v>0.5</v>
      </c>
      <c r="I76" s="230"/>
      <c r="J76" s="227" t="str">
        <f>IF(1-J75=100%,"",1-J75)</f>
        <v/>
      </c>
      <c r="K76" s="219"/>
      <c r="L76" s="219"/>
      <c r="M76" s="219"/>
      <c r="N76" s="219"/>
      <c r="O76" s="219"/>
      <c r="P76" s="219"/>
      <c r="Q76" s="219"/>
      <c r="R76" s="219"/>
      <c r="S76" s="219"/>
      <c r="T76" s="219"/>
      <c r="U76" s="219"/>
      <c r="V76" s="219"/>
      <c r="W76" s="219"/>
      <c r="X76" s="219"/>
      <c r="Y76" s="219"/>
      <c r="Z76" s="219"/>
      <c r="AA76" s="219"/>
    </row>
    <row r="77" spans="3:27" s="217" customFormat="1" x14ac:dyDescent="0.25">
      <c r="C77" s="405"/>
      <c r="E77" s="218"/>
      <c r="F77" s="219"/>
      <c r="G77" s="222"/>
      <c r="H77" s="231" t="s">
        <v>542</v>
      </c>
      <c r="I77" s="229"/>
      <c r="J77" s="231" t="s">
        <v>542</v>
      </c>
      <c r="K77" s="221"/>
      <c r="L77" s="219"/>
      <c r="M77" s="219"/>
      <c r="N77" s="219"/>
      <c r="O77" s="219"/>
      <c r="P77" s="219"/>
      <c r="Q77" s="219"/>
      <c r="R77" s="219"/>
      <c r="S77" s="219"/>
      <c r="T77" s="219"/>
      <c r="U77" s="219"/>
      <c r="V77" s="219"/>
      <c r="W77" s="219"/>
      <c r="X77" s="219"/>
      <c r="Y77" s="219"/>
      <c r="Z77" s="219"/>
      <c r="AA77" s="219"/>
    </row>
    <row r="78" spans="3:27" s="217" customFormat="1" x14ac:dyDescent="0.25">
      <c r="C78" s="405"/>
      <c r="E78" s="218"/>
      <c r="F78" s="219"/>
      <c r="H78" s="224" t="s">
        <v>545</v>
      </c>
      <c r="I78" s="230"/>
      <c r="J78" s="224" t="s">
        <v>545</v>
      </c>
      <c r="K78" s="219"/>
      <c r="L78" s="219"/>
      <c r="M78" s="219"/>
      <c r="N78" s="219"/>
      <c r="O78" s="219"/>
      <c r="P78" s="219"/>
      <c r="Q78" s="219"/>
      <c r="R78" s="219"/>
      <c r="S78" s="219"/>
      <c r="T78" s="219"/>
      <c r="U78" s="219"/>
      <c r="V78" s="219"/>
      <c r="W78" s="219"/>
      <c r="X78" s="219"/>
      <c r="Y78" s="219"/>
      <c r="Z78" s="219"/>
      <c r="AA78" s="219"/>
    </row>
    <row r="79" spans="3:27" s="217" customFormat="1" x14ac:dyDescent="0.25">
      <c r="C79" s="405"/>
      <c r="E79" s="218"/>
      <c r="F79" s="219"/>
      <c r="G79" s="222" t="s">
        <v>535</v>
      </c>
      <c r="H79" s="223">
        <v>0.25</v>
      </c>
      <c r="I79" s="231"/>
      <c r="J79" s="227"/>
      <c r="K79" s="219"/>
      <c r="L79" s="219"/>
      <c r="M79" s="219"/>
      <c r="N79" s="219"/>
      <c r="O79" s="219"/>
      <c r="P79" s="219"/>
      <c r="Q79" s="219"/>
      <c r="R79" s="219"/>
      <c r="S79" s="219"/>
      <c r="T79" s="219"/>
      <c r="U79" s="219"/>
      <c r="V79" s="219"/>
      <c r="W79" s="219"/>
      <c r="X79" s="219"/>
      <c r="Y79" s="219"/>
      <c r="Z79" s="219"/>
      <c r="AA79" s="219"/>
    </row>
    <row r="80" spans="3:27" s="217" customFormat="1" x14ac:dyDescent="0.25">
      <c r="C80" s="405"/>
      <c r="E80" s="218"/>
      <c r="F80" s="219"/>
      <c r="G80" s="222" t="s">
        <v>536</v>
      </c>
      <c r="H80" s="223">
        <f>1-H79</f>
        <v>0.75</v>
      </c>
      <c r="I80" s="229"/>
      <c r="J80" s="227" t="str">
        <f>IF(1-J79=100%,"",1-J79)</f>
        <v/>
      </c>
      <c r="K80" s="219"/>
      <c r="L80" s="219"/>
      <c r="M80" s="219"/>
      <c r="N80" s="219"/>
      <c r="O80" s="219"/>
      <c r="P80" s="219"/>
      <c r="Q80" s="219"/>
      <c r="R80" s="219"/>
      <c r="S80" s="219"/>
      <c r="T80" s="219"/>
      <c r="U80" s="219"/>
      <c r="V80" s="219"/>
      <c r="W80" s="219"/>
      <c r="X80" s="219"/>
      <c r="Y80" s="219"/>
      <c r="Z80" s="219"/>
      <c r="AA80" s="219"/>
    </row>
    <row r="81" spans="3:27" s="217" customFormat="1" x14ac:dyDescent="0.25">
      <c r="C81" s="405"/>
      <c r="E81" s="218"/>
      <c r="F81" s="219"/>
      <c r="G81" s="222"/>
      <c r="H81" s="231" t="s">
        <v>543</v>
      </c>
      <c r="I81" s="229"/>
      <c r="J81" s="231" t="s">
        <v>543</v>
      </c>
      <c r="K81" s="219"/>
      <c r="L81" s="219"/>
      <c r="M81" s="219"/>
      <c r="N81" s="219"/>
      <c r="O81" s="219"/>
      <c r="P81" s="219"/>
      <c r="Q81" s="219"/>
      <c r="R81" s="219"/>
      <c r="S81" s="219"/>
      <c r="T81" s="219"/>
      <c r="U81" s="219"/>
      <c r="V81" s="219"/>
      <c r="W81" s="219"/>
      <c r="X81" s="219"/>
      <c r="Y81" s="219"/>
      <c r="Z81" s="219"/>
      <c r="AA81" s="219"/>
    </row>
    <row r="82" spans="3:27" s="217" customFormat="1" x14ac:dyDescent="0.25">
      <c r="C82" s="405"/>
      <c r="E82" s="218"/>
      <c r="F82" s="219"/>
      <c r="G82" s="25" t="s">
        <v>539</v>
      </c>
      <c r="H82" s="223">
        <v>0.5</v>
      </c>
      <c r="I82" s="231"/>
      <c r="J82" s="227"/>
      <c r="K82" s="219"/>
      <c r="L82" s="219"/>
      <c r="M82" s="219"/>
      <c r="N82" s="219"/>
      <c r="O82" s="219"/>
      <c r="P82" s="219"/>
      <c r="Q82" s="219"/>
      <c r="R82" s="219"/>
      <c r="S82" s="219"/>
      <c r="T82" s="219"/>
      <c r="U82" s="219"/>
      <c r="V82" s="219"/>
      <c r="W82" s="219"/>
      <c r="X82" s="219"/>
      <c r="Y82" s="219"/>
      <c r="Z82" s="219"/>
      <c r="AA82" s="219"/>
    </row>
    <row r="83" spans="3:27" s="217" customFormat="1" x14ac:dyDescent="0.25">
      <c r="C83" s="405"/>
      <c r="E83" s="218"/>
      <c r="F83" s="219"/>
      <c r="G83" s="25" t="s">
        <v>540</v>
      </c>
      <c r="H83" s="223">
        <v>0.25</v>
      </c>
      <c r="I83" s="231"/>
      <c r="J83" s="227"/>
      <c r="K83" s="219"/>
      <c r="L83" s="219"/>
      <c r="M83" s="219"/>
      <c r="N83" s="219"/>
      <c r="O83" s="219"/>
      <c r="P83" s="219"/>
      <c r="Q83" s="219"/>
      <c r="R83" s="219"/>
      <c r="S83" s="219"/>
      <c r="T83" s="219"/>
      <c r="U83" s="219"/>
      <c r="V83" s="219"/>
      <c r="W83" s="219"/>
      <c r="X83" s="219"/>
      <c r="Y83" s="219"/>
      <c r="Z83" s="219"/>
      <c r="AA83" s="219"/>
    </row>
    <row r="84" spans="3:27" s="217" customFormat="1" ht="14.4" x14ac:dyDescent="0.3">
      <c r="C84" s="405"/>
      <c r="E84" s="218"/>
      <c r="F84" s="219"/>
      <c r="G84" s="25" t="s">
        <v>541</v>
      </c>
      <c r="H84" s="223">
        <v>0.25</v>
      </c>
      <c r="I84" s="231"/>
      <c r="J84" s="227"/>
      <c r="K84" s="307" t="str">
        <f>IF(SUM(J82:J84)=0,"",IF(SUM(J82:J84)&lt;&gt;100%,"Values do not sum up to 100%",""))</f>
        <v/>
      </c>
      <c r="L84" s="219"/>
      <c r="M84" s="219"/>
      <c r="N84" s="219"/>
      <c r="O84" s="219"/>
      <c r="P84" s="219"/>
      <c r="Q84" s="219"/>
      <c r="R84" s="219"/>
      <c r="S84" s="219"/>
      <c r="T84" s="219"/>
      <c r="U84" s="219"/>
      <c r="V84" s="219"/>
      <c r="W84" s="219"/>
      <c r="X84" s="219"/>
      <c r="Y84" s="219"/>
      <c r="Z84" s="219"/>
      <c r="AA84" s="219"/>
    </row>
    <row r="85" spans="3:27" s="217" customFormat="1" x14ac:dyDescent="0.25">
      <c r="C85" s="405"/>
      <c r="E85" s="218"/>
      <c r="F85" s="219"/>
      <c r="G85" s="220"/>
      <c r="H85" s="219"/>
      <c r="I85" s="219"/>
      <c r="J85" s="219"/>
      <c r="K85" s="219"/>
      <c r="L85" s="219"/>
      <c r="M85" s="219"/>
      <c r="N85" s="219"/>
      <c r="O85" s="219"/>
      <c r="P85" s="219"/>
      <c r="Q85" s="219"/>
      <c r="R85" s="219"/>
      <c r="S85" s="219"/>
      <c r="T85" s="219"/>
      <c r="U85" s="219"/>
      <c r="V85" s="219"/>
      <c r="W85" s="219"/>
      <c r="X85" s="219"/>
      <c r="Y85" s="219"/>
      <c r="Z85" s="219"/>
      <c r="AA85" s="219"/>
    </row>
    <row r="86" spans="3:27" s="14" customFormat="1" x14ac:dyDescent="0.25">
      <c r="C86" s="405"/>
      <c r="E86" s="63"/>
      <c r="F86" s="54" t="s">
        <v>547</v>
      </c>
      <c r="G86" s="54"/>
      <c r="H86" s="54"/>
      <c r="I86" s="54"/>
      <c r="J86" s="54"/>
      <c r="K86" s="54"/>
      <c r="L86" s="54"/>
      <c r="M86" s="54"/>
      <c r="N86" s="54"/>
      <c r="O86" s="54"/>
      <c r="P86" s="54"/>
      <c r="Q86" s="54"/>
      <c r="R86" s="54"/>
      <c r="S86" s="54"/>
      <c r="T86" s="54"/>
      <c r="U86" s="54"/>
      <c r="V86" s="54"/>
      <c r="W86" s="54"/>
      <c r="X86" s="54"/>
      <c r="Y86" s="54"/>
      <c r="Z86" s="54"/>
      <c r="AA86" s="54"/>
    </row>
    <row r="87" spans="3:27" s="14" customFormat="1" x14ac:dyDescent="0.25">
      <c r="C87" s="405"/>
      <c r="E87" s="63"/>
      <c r="F87" s="243" t="s">
        <v>311</v>
      </c>
      <c r="G87" s="244"/>
      <c r="H87" s="245"/>
      <c r="I87" s="245"/>
      <c r="J87" s="245"/>
      <c r="K87" s="245"/>
      <c r="L87" s="245"/>
      <c r="M87" s="245"/>
      <c r="N87" s="245"/>
      <c r="O87" s="245"/>
      <c r="P87" s="245"/>
      <c r="Q87" s="245"/>
      <c r="R87" s="245"/>
      <c r="S87" s="245"/>
      <c r="T87" s="245"/>
      <c r="U87" s="245"/>
      <c r="V87" s="245"/>
      <c r="W87" s="245"/>
      <c r="X87" s="245"/>
      <c r="Y87" s="245"/>
      <c r="Z87" s="245"/>
      <c r="AA87" s="245"/>
    </row>
    <row r="88" spans="3:27" s="14" customFormat="1" x14ac:dyDescent="0.25">
      <c r="C88" s="405"/>
      <c r="E88" s="63"/>
      <c r="F88" s="1"/>
      <c r="G88" s="40"/>
      <c r="H88" s="1"/>
      <c r="I88" s="1"/>
      <c r="J88" s="1"/>
      <c r="K88" s="1"/>
      <c r="L88" s="1"/>
      <c r="M88" s="1"/>
      <c r="N88" s="1"/>
      <c r="O88" s="1"/>
      <c r="P88" s="1"/>
      <c r="Q88" s="1"/>
      <c r="R88" s="1"/>
      <c r="S88" s="1"/>
      <c r="T88" s="1"/>
      <c r="U88" s="1"/>
      <c r="V88" s="1"/>
      <c r="W88" s="1"/>
      <c r="X88" s="1"/>
      <c r="Y88" s="1"/>
      <c r="Z88" s="1"/>
      <c r="AA88" s="1"/>
    </row>
    <row r="89" spans="3:27" ht="14.4" x14ac:dyDescent="0.25">
      <c r="C89" s="405"/>
      <c r="G89" s="2" t="s">
        <v>489</v>
      </c>
      <c r="H89" s="271">
        <f>'VKS PAMATA DATI'!G31</f>
        <v>0</v>
      </c>
      <c r="I89" s="29"/>
      <c r="J89" s="38" t="s">
        <v>515</v>
      </c>
      <c r="K89" s="31"/>
      <c r="L89" s="31"/>
      <c r="M89" s="31"/>
      <c r="N89" s="31"/>
    </row>
    <row r="90" spans="3:27" ht="14.4" x14ac:dyDescent="0.25">
      <c r="C90" s="405"/>
      <c r="G90" s="2" t="s">
        <v>548</v>
      </c>
      <c r="H90" s="271">
        <f>'VKS PAMATA DATI'!G32</f>
        <v>0</v>
      </c>
      <c r="I90" s="29"/>
      <c r="J90" s="1" t="s">
        <v>203</v>
      </c>
    </row>
    <row r="91" spans="3:27" ht="14.4" x14ac:dyDescent="0.25">
      <c r="C91" s="405"/>
      <c r="G91" s="2" t="s">
        <v>490</v>
      </c>
      <c r="H91" s="271">
        <f>'VKS PAMATA DATI'!G33</f>
        <v>0</v>
      </c>
      <c r="I91" s="29"/>
      <c r="J91" s="14" t="s">
        <v>204</v>
      </c>
      <c r="K91" s="14"/>
      <c r="L91" s="14"/>
      <c r="M91" s="14"/>
      <c r="N91" s="14"/>
    </row>
    <row r="92" spans="3:27" x14ac:dyDescent="0.25">
      <c r="C92" s="405"/>
    </row>
    <row r="93" spans="3:27" s="14" customFormat="1" x14ac:dyDescent="0.25">
      <c r="C93" s="405"/>
      <c r="E93" s="63"/>
      <c r="F93" s="243" t="s">
        <v>312</v>
      </c>
      <c r="G93" s="244"/>
      <c r="H93" s="245"/>
      <c r="I93" s="245"/>
      <c r="J93" s="245"/>
      <c r="K93" s="245"/>
      <c r="L93" s="245"/>
      <c r="M93" s="245"/>
      <c r="N93" s="245"/>
      <c r="O93" s="245"/>
      <c r="P93" s="245"/>
      <c r="Q93" s="245"/>
      <c r="R93" s="245"/>
      <c r="S93" s="245"/>
      <c r="T93" s="245"/>
      <c r="U93" s="245"/>
      <c r="V93" s="245"/>
      <c r="W93" s="245"/>
      <c r="X93" s="245"/>
      <c r="Y93" s="245"/>
      <c r="Z93" s="245"/>
      <c r="AA93" s="245"/>
    </row>
    <row r="94" spans="3:27" x14ac:dyDescent="0.25">
      <c r="C94" s="405"/>
    </row>
    <row r="95" spans="3:27" ht="27.6" x14ac:dyDescent="0.25">
      <c r="C95" s="405"/>
      <c r="G95" s="14"/>
      <c r="H95" s="404" t="s">
        <v>503</v>
      </c>
      <c r="I95" s="404"/>
      <c r="J95" s="404"/>
      <c r="K95" s="8" t="s">
        <v>252</v>
      </c>
      <c r="L95" s="8" t="s">
        <v>253</v>
      </c>
      <c r="M95" s="8" t="s">
        <v>254</v>
      </c>
    </row>
    <row r="96" spans="3:27" x14ac:dyDescent="0.25">
      <c r="C96" s="405"/>
      <c r="G96" s="2" t="s">
        <v>205</v>
      </c>
      <c r="H96" s="403" t="str">
        <f>IF('VKS PAMATA DATI'!J41=0,"",'VKS PAMATA DATI'!J41)</f>
        <v/>
      </c>
      <c r="I96" s="403"/>
      <c r="J96" s="403"/>
      <c r="K96" s="269" t="str">
        <f>IF('VKS PAMATA DATI'!N41=0,"",'VKS PAMATA DATI'!N41)</f>
        <v/>
      </c>
      <c r="L96" s="269" t="str">
        <f>IF('VKS PAMATA DATI'!O41=0,"",'VKS PAMATA DATI'!O41)</f>
        <v/>
      </c>
      <c r="M96" s="269" t="str">
        <f>IF('VKS PAMATA DATI'!P41=0,"",'VKS PAMATA DATI'!P41)</f>
        <v/>
      </c>
    </row>
    <row r="97" spans="3:14" x14ac:dyDescent="0.25">
      <c r="C97" s="405"/>
      <c r="G97" s="2" t="s">
        <v>206</v>
      </c>
      <c r="H97" s="403" t="str">
        <f>IF('VKS PAMATA DATI'!J42=0,"",'VKS PAMATA DATI'!J42)</f>
        <v/>
      </c>
      <c r="I97" s="403"/>
      <c r="J97" s="403"/>
      <c r="K97" s="269" t="str">
        <f>IF('VKS PAMATA DATI'!N42=0,"",'VKS PAMATA DATI'!N42)</f>
        <v/>
      </c>
      <c r="L97" s="269" t="str">
        <f>IF('VKS PAMATA DATI'!O42=0,"",'VKS PAMATA DATI'!O42)</f>
        <v/>
      </c>
      <c r="M97" s="269" t="str">
        <f>IF('VKS PAMATA DATI'!P42=0,"",'VKS PAMATA DATI'!P42)</f>
        <v/>
      </c>
    </row>
    <row r="98" spans="3:14" s="14" customFormat="1" x14ac:dyDescent="0.25">
      <c r="C98" s="405"/>
      <c r="E98" s="63"/>
      <c r="F98" s="1"/>
      <c r="G98" s="2" t="s">
        <v>207</v>
      </c>
      <c r="H98" s="403" t="str">
        <f>IF('VKS PAMATA DATI'!J43=0,"",'VKS PAMATA DATI'!J43)</f>
        <v/>
      </c>
      <c r="I98" s="403"/>
      <c r="J98" s="403"/>
      <c r="K98" s="269" t="str">
        <f>IF('VKS PAMATA DATI'!N43=0,"",'VKS PAMATA DATI'!N43)</f>
        <v/>
      </c>
      <c r="L98" s="269" t="str">
        <f>IF('VKS PAMATA DATI'!O43=0,"",'VKS PAMATA DATI'!O43)</f>
        <v/>
      </c>
      <c r="M98" s="269" t="str">
        <f>IF('VKS PAMATA DATI'!P43=0,"",'VKS PAMATA DATI'!P43)</f>
        <v/>
      </c>
    </row>
    <row r="99" spans="3:14" ht="14.4" x14ac:dyDescent="0.25">
      <c r="C99" s="405"/>
      <c r="F99" s="104"/>
      <c r="G99" s="2" t="s">
        <v>208</v>
      </c>
      <c r="H99" s="403" t="str">
        <f>IF('VKS PAMATA DATI'!J44=0,"",'VKS PAMATA DATI'!J44)</f>
        <v/>
      </c>
      <c r="I99" s="403"/>
      <c r="J99" s="403"/>
      <c r="K99" s="269" t="str">
        <f>IF('VKS PAMATA DATI'!N44=0,"",'VKS PAMATA DATI'!N44)</f>
        <v/>
      </c>
      <c r="L99" s="269" t="str">
        <f>IF('VKS PAMATA DATI'!O44=0,"",'VKS PAMATA DATI'!O44)</f>
        <v/>
      </c>
      <c r="M99" s="269" t="str">
        <f>IF('VKS PAMATA DATI'!P44=0,"",'VKS PAMATA DATI'!P44)</f>
        <v/>
      </c>
      <c r="N99" s="29"/>
    </row>
    <row r="100" spans="3:14" ht="14.4" x14ac:dyDescent="0.25">
      <c r="C100" s="405"/>
      <c r="F100" s="104"/>
      <c r="G100" s="2" t="s">
        <v>209</v>
      </c>
      <c r="H100" s="403" t="str">
        <f>IF('VKS PAMATA DATI'!J45=0,"",'VKS PAMATA DATI'!J45)</f>
        <v/>
      </c>
      <c r="I100" s="403"/>
      <c r="J100" s="403"/>
      <c r="K100" s="269" t="str">
        <f>IF('VKS PAMATA DATI'!N45=0,"",'VKS PAMATA DATI'!N45)</f>
        <v/>
      </c>
      <c r="L100" s="269" t="str">
        <f>IF('VKS PAMATA DATI'!O45=0,"",'VKS PAMATA DATI'!O45)</f>
        <v/>
      </c>
      <c r="M100" s="269" t="str">
        <f>IF('VKS PAMATA DATI'!P45=0,"",'VKS PAMATA DATI'!P45)</f>
        <v/>
      </c>
      <c r="N100" s="29"/>
    </row>
    <row r="101" spans="3:14" ht="14.4" x14ac:dyDescent="0.25">
      <c r="C101" s="405"/>
      <c r="F101" s="104"/>
      <c r="G101" s="2" t="s">
        <v>210</v>
      </c>
      <c r="H101" s="403" t="str">
        <f>IF('VKS PAMATA DATI'!J46=0,"",'VKS PAMATA DATI'!J46)</f>
        <v/>
      </c>
      <c r="I101" s="403"/>
      <c r="J101" s="403"/>
      <c r="K101" s="269" t="str">
        <f>IF('VKS PAMATA DATI'!N46=0,"",'VKS PAMATA DATI'!N46)</f>
        <v/>
      </c>
      <c r="L101" s="269" t="str">
        <f>IF('VKS PAMATA DATI'!O46=0,"",'VKS PAMATA DATI'!O46)</f>
        <v/>
      </c>
      <c r="M101" s="269" t="str">
        <f>IF('VKS PAMATA DATI'!P46=0,"",'VKS PAMATA DATI'!P46)</f>
        <v/>
      </c>
      <c r="N101" s="29"/>
    </row>
    <row r="102" spans="3:14" ht="14.4" x14ac:dyDescent="0.25">
      <c r="C102" s="405"/>
      <c r="G102" s="2" t="s">
        <v>211</v>
      </c>
      <c r="H102" s="403" t="str">
        <f>IF('VKS PAMATA DATI'!J47=0,"",'VKS PAMATA DATI'!J47)</f>
        <v/>
      </c>
      <c r="I102" s="403"/>
      <c r="J102" s="403"/>
      <c r="K102" s="269" t="str">
        <f>IF('VKS PAMATA DATI'!N47=0,"",'VKS PAMATA DATI'!N47)</f>
        <v/>
      </c>
      <c r="L102" s="269" t="str">
        <f>IF('VKS PAMATA DATI'!O47=0,"",'VKS PAMATA DATI'!O47)</f>
        <v/>
      </c>
      <c r="M102" s="269" t="str">
        <f>IF('VKS PAMATA DATI'!P47=0,"",'VKS PAMATA DATI'!P47)</f>
        <v/>
      </c>
      <c r="N102" s="29"/>
    </row>
    <row r="103" spans="3:14" ht="14.4" x14ac:dyDescent="0.25">
      <c r="C103" s="405"/>
      <c r="G103" s="2" t="s">
        <v>212</v>
      </c>
      <c r="H103" s="403" t="str">
        <f>IF('VKS PAMATA DATI'!J48=0,"",'VKS PAMATA DATI'!J48)</f>
        <v/>
      </c>
      <c r="I103" s="403"/>
      <c r="J103" s="403"/>
      <c r="K103" s="269" t="str">
        <f>IF('VKS PAMATA DATI'!N48=0,"",'VKS PAMATA DATI'!N48)</f>
        <v/>
      </c>
      <c r="L103" s="269" t="str">
        <f>IF('VKS PAMATA DATI'!O48=0,"",'VKS PAMATA DATI'!O48)</f>
        <v/>
      </c>
      <c r="M103" s="269" t="str">
        <f>IF('VKS PAMATA DATI'!P48=0,"",'VKS PAMATA DATI'!P48)</f>
        <v/>
      </c>
      <c r="N103" s="29"/>
    </row>
    <row r="104" spans="3:14" ht="14.4" x14ac:dyDescent="0.25">
      <c r="C104" s="405"/>
      <c r="G104" s="2" t="s">
        <v>213</v>
      </c>
      <c r="H104" s="403" t="str">
        <f>IF('VKS PAMATA DATI'!J49=0,"",'VKS PAMATA DATI'!J49)</f>
        <v/>
      </c>
      <c r="I104" s="403"/>
      <c r="J104" s="403"/>
      <c r="K104" s="269" t="str">
        <f>IF('VKS PAMATA DATI'!N49=0,"",'VKS PAMATA DATI'!N49)</f>
        <v/>
      </c>
      <c r="L104" s="269" t="str">
        <f>IF('VKS PAMATA DATI'!O49=0,"",'VKS PAMATA DATI'!O49)</f>
        <v/>
      </c>
      <c r="M104" s="269" t="str">
        <f>IF('VKS PAMATA DATI'!P49=0,"",'VKS PAMATA DATI'!P49)</f>
        <v/>
      </c>
      <c r="N104" s="37"/>
    </row>
    <row r="105" spans="3:14" ht="14.4" x14ac:dyDescent="0.25">
      <c r="C105" s="405"/>
      <c r="G105" s="2" t="s">
        <v>214</v>
      </c>
      <c r="H105" s="403" t="str">
        <f>IF('VKS PAMATA DATI'!J50=0,"",'VKS PAMATA DATI'!J50)</f>
        <v/>
      </c>
      <c r="I105" s="403"/>
      <c r="J105" s="403"/>
      <c r="K105" s="269" t="str">
        <f>IF('VKS PAMATA DATI'!N50=0,"",'VKS PAMATA DATI'!N50)</f>
        <v/>
      </c>
      <c r="L105" s="269" t="str">
        <f>IF('VKS PAMATA DATI'!O50=0,"",'VKS PAMATA DATI'!O50)</f>
        <v/>
      </c>
      <c r="M105" s="269" t="str">
        <f>IF('VKS PAMATA DATI'!P50=0,"",'VKS PAMATA DATI'!P50)</f>
        <v/>
      </c>
      <c r="N105" s="37"/>
    </row>
    <row r="106" spans="3:14" ht="14.4" x14ac:dyDescent="0.25">
      <c r="C106" s="405"/>
      <c r="G106" s="2" t="s">
        <v>291</v>
      </c>
      <c r="H106" s="403" t="str">
        <f>IF('VKS PAMATA DATI'!J51=0,"",'VKS PAMATA DATI'!J51)</f>
        <v/>
      </c>
      <c r="I106" s="403"/>
      <c r="J106" s="403"/>
      <c r="K106" s="269" t="str">
        <f>IF('VKS PAMATA DATI'!N51=0,"",'VKS PAMATA DATI'!N51)</f>
        <v/>
      </c>
      <c r="L106" s="269" t="str">
        <f>IF('VKS PAMATA DATI'!O51=0,"",'VKS PAMATA DATI'!O51)</f>
        <v/>
      </c>
      <c r="M106" s="269" t="str">
        <f>IF('VKS PAMATA DATI'!P51=0,"",'VKS PAMATA DATI'!P51)</f>
        <v/>
      </c>
      <c r="N106" s="37"/>
    </row>
    <row r="107" spans="3:14" ht="14.4" x14ac:dyDescent="0.25">
      <c r="C107" s="405"/>
      <c r="G107" s="2" t="s">
        <v>292</v>
      </c>
      <c r="H107" s="403" t="str">
        <f>IF('VKS PAMATA DATI'!J52=0,"",'VKS PAMATA DATI'!J52)</f>
        <v/>
      </c>
      <c r="I107" s="403"/>
      <c r="J107" s="403"/>
      <c r="K107" s="269" t="str">
        <f>IF('VKS PAMATA DATI'!N52=0,"",'VKS PAMATA DATI'!N52)</f>
        <v/>
      </c>
      <c r="L107" s="269" t="str">
        <f>IF('VKS PAMATA DATI'!O52=0,"",'VKS PAMATA DATI'!O52)</f>
        <v/>
      </c>
      <c r="M107" s="269" t="str">
        <f>IF('VKS PAMATA DATI'!P52=0,"",'VKS PAMATA DATI'!P52)</f>
        <v/>
      </c>
      <c r="N107" s="37"/>
    </row>
    <row r="108" spans="3:14" ht="14.4" x14ac:dyDescent="0.25">
      <c r="C108" s="405"/>
      <c r="G108" s="2" t="s">
        <v>293</v>
      </c>
      <c r="H108" s="403" t="str">
        <f>IF('VKS PAMATA DATI'!J53=0,"",'VKS PAMATA DATI'!J53)</f>
        <v/>
      </c>
      <c r="I108" s="403"/>
      <c r="J108" s="403"/>
      <c r="K108" s="269" t="str">
        <f>IF('VKS PAMATA DATI'!N53=0,"",'VKS PAMATA DATI'!N53)</f>
        <v/>
      </c>
      <c r="L108" s="269" t="str">
        <f>IF('VKS PAMATA DATI'!O53=0,"",'VKS PAMATA DATI'!O53)</f>
        <v/>
      </c>
      <c r="M108" s="269" t="str">
        <f>IF('VKS PAMATA DATI'!P53=0,"",'VKS PAMATA DATI'!P53)</f>
        <v/>
      </c>
      <c r="N108" s="37"/>
    </row>
    <row r="109" spans="3:14" ht="14.4" x14ac:dyDescent="0.25">
      <c r="C109" s="405"/>
      <c r="G109" s="2" t="s">
        <v>294</v>
      </c>
      <c r="H109" s="403" t="str">
        <f>IF('VKS PAMATA DATI'!J54=0,"",'VKS PAMATA DATI'!J54)</f>
        <v/>
      </c>
      <c r="I109" s="403"/>
      <c r="J109" s="403"/>
      <c r="K109" s="269" t="str">
        <f>IF('VKS PAMATA DATI'!N54=0,"",'VKS PAMATA DATI'!N54)</f>
        <v/>
      </c>
      <c r="L109" s="269" t="str">
        <f>IF('VKS PAMATA DATI'!O54=0,"",'VKS PAMATA DATI'!O54)</f>
        <v/>
      </c>
      <c r="M109" s="269" t="str">
        <f>IF('VKS PAMATA DATI'!P54=0,"",'VKS PAMATA DATI'!P54)</f>
        <v/>
      </c>
      <c r="N109" s="37"/>
    </row>
    <row r="110" spans="3:14" ht="14.4" x14ac:dyDescent="0.25">
      <c r="C110" s="405"/>
      <c r="G110" s="2" t="s">
        <v>295</v>
      </c>
      <c r="H110" s="403" t="str">
        <f>IF('VKS PAMATA DATI'!J55=0,"",'VKS PAMATA DATI'!J55)</f>
        <v/>
      </c>
      <c r="I110" s="403"/>
      <c r="J110" s="403"/>
      <c r="K110" s="269" t="str">
        <f>IF('VKS PAMATA DATI'!N55=0,"",'VKS PAMATA DATI'!N55)</f>
        <v/>
      </c>
      <c r="L110" s="269" t="str">
        <f>IF('VKS PAMATA DATI'!O55=0,"",'VKS PAMATA DATI'!O55)</f>
        <v/>
      </c>
      <c r="M110" s="269" t="str">
        <f>IF('VKS PAMATA DATI'!P55=0,"",'VKS PAMATA DATI'!P55)</f>
        <v/>
      </c>
      <c r="N110" s="37"/>
    </row>
    <row r="111" spans="3:14" ht="14.4" x14ac:dyDescent="0.25">
      <c r="C111" s="405"/>
      <c r="G111" s="108"/>
      <c r="H111" s="122"/>
      <c r="J111" s="122" t="s">
        <v>549</v>
      </c>
      <c r="K111" s="270" t="str">
        <f>IFERROR(MEDIAN(K96:K110),"0")</f>
        <v>0</v>
      </c>
      <c r="L111" s="270" t="str">
        <f>IFERROR(MEDIAN(L96:L110),"0")</f>
        <v>0</v>
      </c>
      <c r="M111" s="270" t="str">
        <f>IFERROR(MEDIAN(M96:M110),"0")</f>
        <v>0</v>
      </c>
      <c r="N111" s="37"/>
    </row>
    <row r="112" spans="3:14" ht="14.4" x14ac:dyDescent="0.25">
      <c r="C112" s="405"/>
      <c r="N112" s="37"/>
    </row>
    <row r="113" spans="1:27" s="14" customFormat="1" x14ac:dyDescent="0.25">
      <c r="C113" s="405"/>
      <c r="E113" s="63"/>
      <c r="F113" s="243" t="s">
        <v>521</v>
      </c>
      <c r="G113" s="244"/>
      <c r="H113" s="245"/>
      <c r="I113" s="245"/>
      <c r="J113" s="245"/>
      <c r="K113" s="245"/>
      <c r="L113" s="245"/>
      <c r="M113" s="245"/>
      <c r="N113" s="245"/>
      <c r="O113" s="245"/>
      <c r="P113" s="245"/>
      <c r="Q113" s="245"/>
      <c r="R113" s="245"/>
      <c r="S113" s="245"/>
      <c r="T113" s="245"/>
      <c r="U113" s="245"/>
      <c r="V113" s="245"/>
      <c r="W113" s="245"/>
      <c r="X113" s="245"/>
      <c r="Y113" s="245"/>
      <c r="Z113" s="245"/>
      <c r="AA113" s="245"/>
    </row>
    <row r="114" spans="1:27" s="105" customFormat="1" x14ac:dyDescent="0.25">
      <c r="C114" s="405"/>
      <c r="E114" s="106"/>
      <c r="H114" s="107"/>
      <c r="I114" s="108"/>
      <c r="J114" s="122"/>
      <c r="K114" s="122"/>
      <c r="L114" s="122"/>
      <c r="M114" s="122"/>
    </row>
    <row r="115" spans="1:27" x14ac:dyDescent="0.25">
      <c r="C115" s="405"/>
      <c r="F115" s="232"/>
      <c r="G115" s="233" t="s">
        <v>550</v>
      </c>
      <c r="H115" s="271">
        <f>IFERROR(IF(H66="Suggested",H82*H89+H83*H90+H84*H91,J82*H89+J83*H90+J84*H91),"")</f>
        <v>0</v>
      </c>
    </row>
    <row r="116" spans="1:27" x14ac:dyDescent="0.25">
      <c r="C116" s="405"/>
      <c r="F116" s="232"/>
      <c r="G116" s="233" t="s">
        <v>577</v>
      </c>
      <c r="H116" s="271" t="str">
        <f>IFERROR(AVERAGE(K111:M111),"")</f>
        <v/>
      </c>
    </row>
    <row r="117" spans="1:27" x14ac:dyDescent="0.25">
      <c r="C117" s="405"/>
      <c r="G117" s="2" t="s">
        <v>551</v>
      </c>
      <c r="H117" s="271" t="str">
        <f>IFERROR(IF(H66="Suggested",IF(AND(H67&gt;0,H67&lt;6),(H115*H71+H116*H72),IF(H67&lt;11,(H115*H75+H116*H76),(H115*H79+H116*H80))),IF(AND(H67&gt;0,H67&lt;6),(H115*J71+H116*J72),IF(H67&lt;11,(H115*J75+H116*J76),(H115*J79+H116*J80)))),"")</f>
        <v/>
      </c>
    </row>
    <row r="118" spans="1:27" x14ac:dyDescent="0.25">
      <c r="C118" s="405"/>
      <c r="H118" s="272"/>
      <c r="K118" s="3"/>
    </row>
    <row r="119" spans="1:27" x14ac:dyDescent="0.25">
      <c r="C119" s="405"/>
      <c r="F119" s="54" t="s">
        <v>552</v>
      </c>
      <c r="G119" s="54"/>
      <c r="H119" s="54"/>
      <c r="I119" s="54"/>
      <c r="J119" s="54"/>
      <c r="K119" s="54"/>
      <c r="L119" s="54"/>
      <c r="M119" s="54"/>
      <c r="N119" s="54"/>
      <c r="O119" s="54"/>
      <c r="P119" s="54"/>
      <c r="Q119" s="54"/>
      <c r="R119" s="54"/>
      <c r="S119" s="54"/>
      <c r="T119" s="54"/>
      <c r="U119" s="54"/>
      <c r="V119" s="54"/>
      <c r="W119" s="54"/>
      <c r="X119" s="54"/>
      <c r="Y119" s="54"/>
      <c r="Z119" s="54"/>
      <c r="AA119" s="54"/>
    </row>
    <row r="120" spans="1:27" x14ac:dyDescent="0.25">
      <c r="C120" s="405"/>
      <c r="K120" s="3"/>
    </row>
    <row r="121" spans="1:27" ht="14.4" x14ac:dyDescent="0.25">
      <c r="C121" s="405"/>
      <c r="G121" s="25" t="s">
        <v>528</v>
      </c>
      <c r="H121" s="271">
        <f>'VKS PAMATA DATI'!G58</f>
        <v>0</v>
      </c>
      <c r="I121" s="29"/>
      <c r="K121" s="1" t="s">
        <v>554</v>
      </c>
    </row>
    <row r="122" spans="1:27" x14ac:dyDescent="0.25">
      <c r="A122" s="1" t="s">
        <v>235</v>
      </c>
      <c r="C122" s="405"/>
      <c r="F122" s="31"/>
      <c r="G122" s="31"/>
      <c r="H122" s="36"/>
      <c r="I122" s="31"/>
      <c r="J122" s="31"/>
      <c r="K122" s="36"/>
      <c r="L122" s="31"/>
      <c r="M122" s="31"/>
      <c r="N122" s="31"/>
      <c r="O122" s="31"/>
      <c r="P122" s="31"/>
      <c r="Q122" s="31"/>
      <c r="R122" s="31"/>
      <c r="S122" s="31"/>
      <c r="T122" s="31"/>
      <c r="U122" s="31"/>
      <c r="V122" s="31"/>
      <c r="W122" s="31"/>
      <c r="X122" s="31"/>
      <c r="Y122" s="31"/>
      <c r="Z122" s="31"/>
      <c r="AA122" s="31"/>
    </row>
    <row r="123" spans="1:27" x14ac:dyDescent="0.25">
      <c r="C123" s="405"/>
      <c r="K123" s="3"/>
    </row>
    <row r="124" spans="1:27" x14ac:dyDescent="0.25">
      <c r="C124" s="405"/>
      <c r="F124" s="54" t="s">
        <v>553</v>
      </c>
      <c r="G124" s="54"/>
      <c r="H124" s="54"/>
      <c r="I124" s="54"/>
      <c r="J124" s="54"/>
      <c r="K124" s="54"/>
      <c r="L124" s="54"/>
      <c r="M124" s="54"/>
      <c r="N124" s="54"/>
      <c r="O124" s="54"/>
      <c r="P124" s="54"/>
      <c r="Q124" s="54"/>
      <c r="R124" s="54"/>
      <c r="S124" s="54"/>
      <c r="T124" s="54"/>
      <c r="U124" s="54"/>
      <c r="V124" s="54"/>
      <c r="W124" s="54"/>
      <c r="X124" s="54"/>
      <c r="Y124" s="54"/>
      <c r="Z124" s="54"/>
      <c r="AA124" s="54"/>
    </row>
    <row r="125" spans="1:27" x14ac:dyDescent="0.25">
      <c r="C125" s="405"/>
      <c r="K125" s="3"/>
    </row>
    <row r="126" spans="1:27" ht="14.4" x14ac:dyDescent="0.25">
      <c r="C126" s="405"/>
      <c r="G126" s="25" t="s">
        <v>529</v>
      </c>
      <c r="H126" s="271">
        <f>'VKS PAMATA DATI'!G60</f>
        <v>0</v>
      </c>
      <c r="I126" s="29"/>
    </row>
    <row r="127" spans="1:27" ht="13.5" customHeight="1" x14ac:dyDescent="0.25">
      <c r="K127" s="3"/>
    </row>
    <row r="128" spans="1:27" ht="30" customHeight="1" x14ac:dyDescent="0.25">
      <c r="C128" s="10"/>
      <c r="F128" s="242" t="s">
        <v>482</v>
      </c>
      <c r="G128" s="236"/>
      <c r="H128" s="10"/>
      <c r="I128" s="10"/>
      <c r="J128" s="10"/>
      <c r="K128" s="10"/>
      <c r="L128" s="10"/>
      <c r="M128" s="10"/>
      <c r="N128" s="10"/>
      <c r="O128" s="10"/>
      <c r="P128" s="10"/>
      <c r="Q128" s="10"/>
      <c r="R128" s="10"/>
      <c r="S128" s="10"/>
      <c r="T128" s="10"/>
      <c r="U128" s="10"/>
      <c r="V128" s="10"/>
      <c r="W128" s="10"/>
      <c r="X128" s="10"/>
      <c r="Y128" s="10"/>
      <c r="Z128" s="10"/>
      <c r="AA128" s="10"/>
    </row>
    <row r="129" spans="3:27" s="14" customFormat="1" x14ac:dyDescent="0.25">
      <c r="E129" s="63"/>
      <c r="F129" s="1"/>
      <c r="G129" s="40"/>
      <c r="H129" s="1"/>
      <c r="I129" s="1"/>
      <c r="J129" s="1"/>
      <c r="K129" s="1"/>
      <c r="L129" s="1"/>
      <c r="M129" s="1"/>
      <c r="N129" s="1"/>
      <c r="O129" s="1"/>
      <c r="P129" s="1"/>
      <c r="Q129" s="1"/>
      <c r="R129" s="1"/>
      <c r="S129" s="1"/>
      <c r="T129" s="1"/>
      <c r="U129" s="1"/>
      <c r="V129" s="1"/>
      <c r="W129" s="1"/>
      <c r="X129" s="1"/>
      <c r="Y129" s="1"/>
      <c r="Z129" s="1"/>
      <c r="AA129" s="1"/>
    </row>
    <row r="130" spans="3:27" s="14" customFormat="1" ht="15" customHeight="1" x14ac:dyDescent="0.25">
      <c r="C130" s="405" t="s">
        <v>482</v>
      </c>
      <c r="E130" s="63"/>
      <c r="F130" s="234" t="s">
        <v>555</v>
      </c>
      <c r="G130" s="40"/>
      <c r="H130" s="1"/>
      <c r="I130" s="1"/>
      <c r="J130" s="1"/>
      <c r="K130" s="1"/>
      <c r="L130" s="1"/>
      <c r="M130" s="1"/>
      <c r="N130" s="1"/>
      <c r="O130" s="1"/>
      <c r="P130" s="1"/>
      <c r="Q130" s="1"/>
      <c r="R130" s="1"/>
      <c r="S130" s="1"/>
      <c r="T130" s="1"/>
      <c r="U130" s="1"/>
      <c r="V130" s="1"/>
      <c r="W130" s="1"/>
      <c r="X130" s="1"/>
      <c r="Y130" s="1"/>
      <c r="Z130" s="1"/>
      <c r="AA130" s="1"/>
    </row>
    <row r="131" spans="3:27" s="14" customFormat="1" x14ac:dyDescent="0.25">
      <c r="C131" s="405"/>
      <c r="E131" s="63"/>
      <c r="F131" s="1"/>
      <c r="G131" s="40"/>
      <c r="H131" s="1"/>
      <c r="I131" s="1"/>
      <c r="J131" s="1"/>
      <c r="K131" s="1"/>
      <c r="L131" s="1"/>
      <c r="M131" s="1"/>
      <c r="N131" s="1"/>
      <c r="O131" s="1"/>
      <c r="P131" s="1"/>
      <c r="Q131" s="1"/>
      <c r="R131" s="1"/>
      <c r="S131" s="1"/>
      <c r="T131" s="1"/>
      <c r="U131" s="1"/>
      <c r="V131" s="1"/>
      <c r="W131" s="1"/>
      <c r="X131" s="1"/>
      <c r="Y131" s="1"/>
      <c r="Z131" s="1"/>
      <c r="AA131" s="1"/>
    </row>
    <row r="132" spans="3:27" s="14" customFormat="1" x14ac:dyDescent="0.25">
      <c r="C132" s="405"/>
      <c r="E132" s="63"/>
      <c r="F132" s="1"/>
      <c r="G132" s="40"/>
      <c r="H132" s="1"/>
      <c r="I132" s="1"/>
      <c r="J132" s="1"/>
      <c r="K132" s="1"/>
      <c r="L132" s="1"/>
      <c r="M132" s="1"/>
      <c r="N132" s="1"/>
      <c r="O132" s="1"/>
      <c r="P132" s="1"/>
      <c r="Q132" s="1"/>
      <c r="R132" s="1"/>
      <c r="S132" s="1"/>
      <c r="T132" s="1"/>
      <c r="U132" s="1"/>
      <c r="V132" s="1"/>
      <c r="W132" s="1"/>
      <c r="X132" s="1"/>
      <c r="Y132" s="1"/>
      <c r="Z132" s="1"/>
      <c r="AA132" s="1"/>
    </row>
    <row r="133" spans="3:27" s="14" customFormat="1" x14ac:dyDescent="0.25">
      <c r="C133" s="405"/>
      <c r="E133" s="63"/>
      <c r="F133" s="1"/>
      <c r="G133" s="40"/>
      <c r="H133" s="1"/>
      <c r="I133" s="1"/>
      <c r="J133" s="1"/>
      <c r="K133" s="1"/>
      <c r="L133" s="1"/>
      <c r="M133" s="1"/>
      <c r="N133" s="1"/>
      <c r="O133" s="1"/>
      <c r="P133" s="1"/>
      <c r="Q133" s="1"/>
      <c r="R133" s="1"/>
      <c r="S133" s="1"/>
      <c r="T133" s="1"/>
      <c r="U133" s="1"/>
      <c r="V133" s="1"/>
      <c r="W133" s="1"/>
      <c r="X133" s="1"/>
      <c r="Y133" s="1"/>
      <c r="Z133" s="1"/>
      <c r="AA133" s="1"/>
    </row>
    <row r="134" spans="3:27" s="14" customFormat="1" x14ac:dyDescent="0.25">
      <c r="C134" s="405"/>
      <c r="E134" s="63"/>
      <c r="F134" s="1"/>
      <c r="G134" s="40"/>
      <c r="H134" s="1"/>
      <c r="I134" s="1"/>
      <c r="J134" s="1"/>
      <c r="K134" s="1"/>
      <c r="L134" s="1"/>
      <c r="M134" s="1"/>
      <c r="N134" s="1"/>
      <c r="O134" s="1"/>
      <c r="P134" s="1"/>
      <c r="Q134" s="1"/>
      <c r="R134" s="1"/>
      <c r="S134" s="1"/>
      <c r="T134" s="1"/>
      <c r="U134" s="1"/>
      <c r="V134" s="1"/>
      <c r="W134" s="1"/>
      <c r="X134" s="1"/>
      <c r="Y134" s="1"/>
      <c r="Z134" s="1"/>
      <c r="AA134" s="1"/>
    </row>
    <row r="135" spans="3:27" s="14" customFormat="1" x14ac:dyDescent="0.25">
      <c r="C135" s="405"/>
      <c r="E135" s="63"/>
      <c r="F135" s="1"/>
      <c r="G135" s="40"/>
      <c r="H135" s="1"/>
      <c r="I135" s="1"/>
      <c r="J135" s="1"/>
      <c r="K135" s="1"/>
      <c r="L135" s="1"/>
      <c r="M135" s="1"/>
      <c r="N135" s="1"/>
      <c r="O135" s="1"/>
      <c r="P135" s="1"/>
      <c r="Q135" s="1"/>
      <c r="R135" s="1"/>
      <c r="S135" s="1"/>
      <c r="T135" s="1"/>
      <c r="U135" s="1"/>
      <c r="V135" s="1"/>
      <c r="W135" s="1"/>
      <c r="X135" s="1"/>
      <c r="Y135" s="1"/>
      <c r="Z135" s="1"/>
      <c r="AA135" s="1"/>
    </row>
    <row r="136" spans="3:27" s="14" customFormat="1" x14ac:dyDescent="0.25">
      <c r="C136" s="405"/>
      <c r="E136" s="63"/>
      <c r="F136" s="1"/>
      <c r="G136" s="40"/>
      <c r="H136" s="1"/>
      <c r="I136" s="1"/>
      <c r="J136" s="1"/>
      <c r="K136" s="1"/>
      <c r="L136" s="1"/>
      <c r="M136" s="1"/>
      <c r="N136" s="1"/>
      <c r="O136" s="1"/>
      <c r="P136" s="1"/>
      <c r="Q136" s="1"/>
      <c r="R136" s="1"/>
      <c r="S136" s="1"/>
      <c r="T136" s="1"/>
      <c r="U136" s="1"/>
      <c r="V136" s="1"/>
      <c r="W136" s="1"/>
      <c r="X136" s="1"/>
      <c r="Y136" s="1"/>
      <c r="Z136" s="1"/>
      <c r="AA136" s="1"/>
    </row>
    <row r="137" spans="3:27" s="14" customFormat="1" x14ac:dyDescent="0.25">
      <c r="C137" s="405"/>
      <c r="E137" s="63"/>
      <c r="F137" s="1"/>
      <c r="G137" s="40"/>
      <c r="H137" s="1"/>
      <c r="I137" s="1"/>
      <c r="J137" s="1"/>
      <c r="K137" s="1"/>
      <c r="L137" s="1"/>
      <c r="M137" s="1"/>
      <c r="N137" s="1"/>
      <c r="O137" s="1"/>
      <c r="P137" s="1"/>
      <c r="Q137" s="1"/>
      <c r="R137" s="1"/>
      <c r="S137" s="1"/>
      <c r="T137" s="1"/>
      <c r="U137" s="1"/>
      <c r="V137" s="1"/>
      <c r="W137" s="1"/>
      <c r="X137" s="1"/>
      <c r="Y137" s="1"/>
      <c r="Z137" s="1"/>
      <c r="AA137" s="1"/>
    </row>
    <row r="138" spans="3:27" s="14" customFormat="1" x14ac:dyDescent="0.25">
      <c r="C138" s="405"/>
      <c r="E138" s="63"/>
      <c r="F138" s="1"/>
      <c r="G138" s="40"/>
      <c r="H138" s="1"/>
      <c r="I138" s="1"/>
      <c r="J138" s="1"/>
      <c r="K138" s="1"/>
      <c r="L138" s="1"/>
      <c r="M138" s="1"/>
      <c r="N138" s="1"/>
      <c r="O138" s="1"/>
      <c r="P138" s="1"/>
      <c r="Q138" s="1"/>
      <c r="R138" s="1"/>
      <c r="S138" s="1"/>
      <c r="T138" s="1"/>
      <c r="U138" s="1"/>
      <c r="V138" s="1"/>
      <c r="W138" s="1"/>
      <c r="X138" s="1"/>
      <c r="Y138" s="1"/>
      <c r="Z138" s="1"/>
      <c r="AA138" s="1"/>
    </row>
    <row r="139" spans="3:27" s="14" customFormat="1" x14ac:dyDescent="0.25">
      <c r="C139" s="405"/>
      <c r="E139" s="63"/>
      <c r="F139" s="1"/>
      <c r="G139" s="40"/>
      <c r="H139" s="1"/>
      <c r="I139" s="1"/>
      <c r="J139" s="1"/>
      <c r="K139" s="1"/>
      <c r="L139" s="1"/>
      <c r="M139" s="1"/>
      <c r="N139" s="1"/>
      <c r="O139" s="1"/>
      <c r="P139" s="1"/>
      <c r="Q139" s="1"/>
      <c r="R139" s="1"/>
      <c r="S139" s="1"/>
      <c r="T139" s="1"/>
      <c r="U139" s="1"/>
      <c r="V139" s="1"/>
      <c r="W139" s="1"/>
      <c r="X139" s="1"/>
      <c r="Y139" s="1"/>
      <c r="Z139" s="1"/>
      <c r="AA139" s="1"/>
    </row>
    <row r="140" spans="3:27" s="14" customFormat="1" x14ac:dyDescent="0.25">
      <c r="C140" s="405"/>
      <c r="E140" s="63"/>
      <c r="F140" s="1"/>
      <c r="G140" s="40"/>
      <c r="H140" s="1"/>
      <c r="I140" s="1"/>
      <c r="J140" s="1"/>
      <c r="K140" s="1"/>
      <c r="L140" s="1"/>
      <c r="M140" s="1"/>
      <c r="N140" s="1"/>
      <c r="O140" s="1"/>
      <c r="P140" s="1"/>
      <c r="Q140" s="1"/>
      <c r="R140" s="1"/>
      <c r="S140" s="1"/>
      <c r="T140" s="1"/>
      <c r="U140" s="1"/>
      <c r="V140" s="1"/>
      <c r="W140" s="1"/>
      <c r="X140" s="1"/>
      <c r="Y140" s="1"/>
      <c r="Z140" s="1"/>
      <c r="AA140" s="1"/>
    </row>
    <row r="141" spans="3:27" s="14" customFormat="1" x14ac:dyDescent="0.25">
      <c r="C141" s="405"/>
      <c r="E141" s="63"/>
      <c r="F141" s="1"/>
      <c r="G141" s="40"/>
      <c r="H141" s="1"/>
      <c r="I141" s="1"/>
      <c r="J141" s="1"/>
      <c r="K141" s="1"/>
      <c r="L141" s="1"/>
      <c r="M141" s="1"/>
      <c r="N141" s="1"/>
      <c r="O141" s="1"/>
      <c r="P141" s="1"/>
      <c r="Q141" s="1"/>
      <c r="R141" s="1"/>
      <c r="S141" s="1"/>
      <c r="T141" s="1"/>
      <c r="U141" s="1"/>
      <c r="V141" s="1"/>
      <c r="W141" s="1"/>
      <c r="X141" s="1"/>
      <c r="Y141" s="1"/>
      <c r="Z141" s="1"/>
      <c r="AA141" s="1"/>
    </row>
    <row r="142" spans="3:27" s="217" customFormat="1" ht="14.25" customHeight="1" x14ac:dyDescent="0.25">
      <c r="C142" s="405"/>
      <c r="E142" s="218"/>
      <c r="F142" s="219"/>
      <c r="G142" s="220"/>
      <c r="H142" s="219"/>
      <c r="I142" s="219"/>
      <c r="J142" s="219"/>
      <c r="K142" s="219"/>
      <c r="L142" s="219"/>
      <c r="M142" s="219"/>
      <c r="N142" s="219"/>
      <c r="O142" s="219"/>
      <c r="P142" s="219"/>
      <c r="Q142" s="219"/>
      <c r="R142" s="219"/>
      <c r="S142" s="219"/>
      <c r="T142" s="219"/>
      <c r="U142" s="219"/>
      <c r="V142" s="219"/>
      <c r="W142" s="219"/>
      <c r="X142" s="219"/>
      <c r="Y142" s="219"/>
      <c r="Z142" s="219"/>
      <c r="AA142" s="219"/>
    </row>
    <row r="143" spans="3:27" s="217" customFormat="1" ht="14.25" customHeight="1" x14ac:dyDescent="0.25">
      <c r="C143" s="405"/>
      <c r="E143" s="218"/>
      <c r="F143" s="219"/>
      <c r="G143" s="220"/>
      <c r="H143" s="219"/>
      <c r="I143" s="219"/>
      <c r="J143" s="219"/>
      <c r="K143" s="219"/>
      <c r="L143" s="219"/>
      <c r="M143" s="219"/>
      <c r="N143" s="219"/>
      <c r="O143" s="219"/>
      <c r="P143" s="219"/>
      <c r="Q143" s="219"/>
      <c r="R143" s="219"/>
      <c r="S143" s="219"/>
      <c r="T143" s="219"/>
      <c r="U143" s="219"/>
      <c r="V143" s="219"/>
      <c r="W143" s="219"/>
      <c r="X143" s="219"/>
      <c r="Y143" s="219"/>
      <c r="Z143" s="219"/>
      <c r="AA143" s="219"/>
    </row>
    <row r="144" spans="3:27" s="217" customFormat="1" x14ac:dyDescent="0.25">
      <c r="C144" s="405"/>
      <c r="E144" s="218"/>
      <c r="F144" s="219"/>
      <c r="G144" s="25" t="s">
        <v>556</v>
      </c>
      <c r="H144" s="400" t="s">
        <v>485</v>
      </c>
      <c r="I144" s="401"/>
      <c r="J144" s="401"/>
      <c r="K144" s="247" t="s">
        <v>345</v>
      </c>
      <c r="L144" s="219" t="s">
        <v>557</v>
      </c>
      <c r="M144" s="219"/>
      <c r="N144" s="219"/>
      <c r="O144" s="219"/>
      <c r="P144" s="219"/>
      <c r="Q144" s="219"/>
      <c r="R144" s="219"/>
      <c r="S144" s="219"/>
      <c r="T144" s="219"/>
      <c r="U144" s="219"/>
      <c r="V144" s="219"/>
      <c r="W144" s="219"/>
      <c r="X144" s="219"/>
      <c r="Y144" s="219"/>
      <c r="Z144" s="219"/>
      <c r="AA144" s="219"/>
    </row>
    <row r="145" spans="3:27" s="217" customFormat="1" x14ac:dyDescent="0.25">
      <c r="C145" s="405"/>
      <c r="E145" s="218"/>
      <c r="F145" s="219"/>
      <c r="G145" s="25" t="s">
        <v>534</v>
      </c>
      <c r="H145" s="402" t="str">
        <f>IF(COUNTA('VKS PAMATA DATI'!J41:J55)&lt;&gt;0,COUNTA('VKS PAMATA DATI'!J41:J55),"")</f>
        <v/>
      </c>
      <c r="I145" s="402"/>
      <c r="J145" s="402"/>
      <c r="K145" s="219"/>
      <c r="L145" s="219"/>
      <c r="M145" s="219"/>
      <c r="N145" s="219"/>
      <c r="O145" s="219"/>
      <c r="P145" s="219"/>
      <c r="Q145" s="219"/>
      <c r="R145" s="219"/>
      <c r="S145" s="219"/>
      <c r="T145" s="219"/>
      <c r="U145" s="219"/>
      <c r="V145" s="219"/>
      <c r="W145" s="219"/>
      <c r="X145" s="219"/>
      <c r="Y145" s="219"/>
      <c r="Z145" s="219"/>
      <c r="AA145" s="219"/>
    </row>
    <row r="146" spans="3:27" s="217" customFormat="1" ht="13.5" customHeight="1" x14ac:dyDescent="0.25">
      <c r="C146" s="405"/>
      <c r="E146" s="218"/>
      <c r="F146" s="219"/>
      <c r="G146" s="25"/>
      <c r="H146" s="219"/>
      <c r="I146" s="219"/>
      <c r="J146" s="219"/>
      <c r="K146" s="219"/>
      <c r="L146" s="219"/>
      <c r="M146" s="219"/>
      <c r="N146" s="219"/>
      <c r="O146" s="219"/>
      <c r="P146" s="219"/>
      <c r="Q146" s="219"/>
      <c r="R146" s="219"/>
      <c r="S146" s="219"/>
      <c r="T146" s="219"/>
      <c r="U146" s="219"/>
      <c r="V146" s="219"/>
      <c r="W146" s="219"/>
      <c r="X146" s="219"/>
      <c r="Y146" s="219"/>
      <c r="Z146" s="219"/>
      <c r="AA146" s="219"/>
    </row>
    <row r="147" spans="3:27" s="217" customFormat="1" x14ac:dyDescent="0.25">
      <c r="C147" s="405"/>
      <c r="E147" s="218"/>
      <c r="F147" s="219"/>
      <c r="H147" s="225" t="s">
        <v>533</v>
      </c>
      <c r="I147" s="226"/>
      <c r="J147" s="228" t="s">
        <v>532</v>
      </c>
      <c r="K147" s="219"/>
      <c r="L147" s="219"/>
      <c r="M147" s="219"/>
      <c r="N147" s="219"/>
      <c r="O147" s="219"/>
      <c r="P147" s="219"/>
      <c r="Q147" s="219"/>
      <c r="R147" s="219"/>
      <c r="S147" s="219"/>
      <c r="T147" s="219"/>
      <c r="U147" s="219"/>
      <c r="V147" s="219"/>
      <c r="W147" s="219"/>
      <c r="X147" s="219"/>
      <c r="Y147" s="219"/>
      <c r="Z147" s="219"/>
      <c r="AA147" s="219"/>
    </row>
    <row r="148" spans="3:27" s="217" customFormat="1" x14ac:dyDescent="0.25">
      <c r="C148" s="405"/>
      <c r="E148" s="218"/>
      <c r="F148" s="219"/>
      <c r="G148" s="222"/>
      <c r="H148" s="224" t="s">
        <v>538</v>
      </c>
      <c r="I148" s="229"/>
      <c r="J148" s="224" t="s">
        <v>538</v>
      </c>
      <c r="K148" s="219"/>
      <c r="L148" s="219"/>
      <c r="M148" s="219"/>
      <c r="N148" s="219"/>
      <c r="O148" s="219"/>
      <c r="P148" s="219"/>
      <c r="Q148" s="219"/>
      <c r="R148" s="219"/>
      <c r="S148" s="219"/>
      <c r="T148" s="219"/>
      <c r="U148" s="219"/>
      <c r="V148" s="219"/>
      <c r="W148" s="219"/>
      <c r="X148" s="219"/>
      <c r="Y148" s="219"/>
      <c r="Z148" s="219"/>
      <c r="AA148" s="219"/>
    </row>
    <row r="149" spans="3:27" s="217" customFormat="1" x14ac:dyDescent="0.25">
      <c r="C149" s="405"/>
      <c r="E149" s="218"/>
      <c r="F149" s="219"/>
      <c r="G149" s="222" t="s">
        <v>535</v>
      </c>
      <c r="H149" s="223">
        <v>0.75</v>
      </c>
      <c r="I149" s="231"/>
      <c r="J149" s="227"/>
      <c r="K149" s="219"/>
      <c r="L149" s="219"/>
      <c r="M149" s="219"/>
      <c r="N149" s="219"/>
      <c r="O149" s="219"/>
      <c r="P149" s="219"/>
      <c r="Q149" s="219"/>
      <c r="R149" s="219"/>
      <c r="S149" s="219"/>
      <c r="T149" s="219"/>
      <c r="U149" s="219"/>
      <c r="V149" s="219"/>
      <c r="W149" s="219"/>
      <c r="X149" s="219"/>
      <c r="Y149" s="219"/>
      <c r="Z149" s="219"/>
      <c r="AA149" s="219"/>
    </row>
    <row r="150" spans="3:27" s="217" customFormat="1" x14ac:dyDescent="0.25">
      <c r="C150" s="405"/>
      <c r="E150" s="218"/>
      <c r="F150" s="219"/>
      <c r="G150" s="222" t="s">
        <v>536</v>
      </c>
      <c r="H150" s="223">
        <f>1-H149</f>
        <v>0.25</v>
      </c>
      <c r="I150" s="230"/>
      <c r="J150" s="227" t="str">
        <f>IF(1-J149=100%,"",1-J149)</f>
        <v/>
      </c>
      <c r="K150" s="219"/>
      <c r="L150" s="219"/>
      <c r="M150" s="219"/>
      <c r="N150" s="219"/>
      <c r="O150" s="219"/>
      <c r="P150" s="219"/>
      <c r="Q150" s="219"/>
      <c r="R150" s="219"/>
      <c r="S150" s="219"/>
      <c r="T150" s="219"/>
      <c r="U150" s="219"/>
      <c r="V150" s="219"/>
      <c r="W150" s="219"/>
      <c r="X150" s="219"/>
      <c r="Y150" s="219"/>
      <c r="Z150" s="219"/>
      <c r="AA150" s="219"/>
    </row>
    <row r="151" spans="3:27" s="217" customFormat="1" x14ac:dyDescent="0.25">
      <c r="C151" s="405"/>
      <c r="E151" s="218"/>
      <c r="F151" s="219"/>
      <c r="G151" s="222"/>
      <c r="H151" s="231" t="s">
        <v>542</v>
      </c>
      <c r="I151" s="229"/>
      <c r="J151" s="231" t="s">
        <v>542</v>
      </c>
      <c r="K151" s="221"/>
      <c r="L151" s="219"/>
      <c r="M151" s="219"/>
      <c r="N151" s="219"/>
      <c r="O151" s="219"/>
      <c r="P151" s="219"/>
      <c r="Q151" s="219"/>
      <c r="R151" s="219"/>
      <c r="S151" s="219"/>
      <c r="T151" s="219"/>
      <c r="U151" s="219"/>
      <c r="V151" s="219"/>
      <c r="W151" s="219"/>
      <c r="X151" s="219"/>
      <c r="Y151" s="219"/>
      <c r="Z151" s="219"/>
      <c r="AA151" s="219"/>
    </row>
    <row r="152" spans="3:27" s="217" customFormat="1" x14ac:dyDescent="0.25">
      <c r="C152" s="405"/>
      <c r="E152" s="218"/>
      <c r="F152" s="219"/>
      <c r="G152" s="222"/>
      <c r="H152" s="224" t="s">
        <v>544</v>
      </c>
      <c r="I152" s="230"/>
      <c r="J152" s="224" t="s">
        <v>544</v>
      </c>
      <c r="K152" s="219"/>
      <c r="L152" s="219"/>
      <c r="M152" s="219"/>
      <c r="N152" s="219"/>
      <c r="O152" s="219"/>
      <c r="P152" s="219"/>
      <c r="Q152" s="219"/>
      <c r="R152" s="219"/>
      <c r="S152" s="219"/>
      <c r="T152" s="219"/>
      <c r="U152" s="219"/>
      <c r="V152" s="219"/>
      <c r="W152" s="219"/>
      <c r="X152" s="219"/>
      <c r="Y152" s="219"/>
      <c r="Z152" s="219"/>
      <c r="AA152" s="219"/>
    </row>
    <row r="153" spans="3:27" s="217" customFormat="1" x14ac:dyDescent="0.25">
      <c r="C153" s="405"/>
      <c r="E153" s="218"/>
      <c r="F153" s="219"/>
      <c r="G153" s="222" t="s">
        <v>535</v>
      </c>
      <c r="H153" s="223">
        <v>0.5</v>
      </c>
      <c r="I153" s="231"/>
      <c r="J153" s="227"/>
      <c r="K153" s="219"/>
      <c r="L153" s="219"/>
      <c r="M153" s="219"/>
      <c r="N153" s="219"/>
      <c r="O153" s="219"/>
      <c r="P153" s="219"/>
      <c r="Q153" s="219"/>
      <c r="R153" s="219"/>
      <c r="S153" s="219"/>
      <c r="T153" s="219"/>
      <c r="U153" s="219"/>
      <c r="V153" s="219"/>
      <c r="W153" s="219"/>
      <c r="X153" s="219"/>
      <c r="Y153" s="219"/>
      <c r="Z153" s="219"/>
      <c r="AA153" s="219"/>
    </row>
    <row r="154" spans="3:27" s="217" customFormat="1" x14ac:dyDescent="0.25">
      <c r="C154" s="405"/>
      <c r="E154" s="218"/>
      <c r="F154" s="219"/>
      <c r="G154" s="222" t="s">
        <v>536</v>
      </c>
      <c r="H154" s="223">
        <f>1-H153</f>
        <v>0.5</v>
      </c>
      <c r="I154" s="230"/>
      <c r="J154" s="227" t="str">
        <f>IF(1-J153=100%,"",1-J153)</f>
        <v/>
      </c>
      <c r="K154" s="219"/>
      <c r="L154" s="219"/>
      <c r="M154" s="219"/>
      <c r="N154" s="219"/>
      <c r="O154" s="219"/>
      <c r="P154" s="219"/>
      <c r="Q154" s="219"/>
      <c r="R154" s="219"/>
      <c r="S154" s="219"/>
      <c r="T154" s="219"/>
      <c r="U154" s="219"/>
      <c r="V154" s="219"/>
      <c r="W154" s="219"/>
      <c r="X154" s="219"/>
      <c r="Y154" s="219"/>
      <c r="Z154" s="219"/>
      <c r="AA154" s="219"/>
    </row>
    <row r="155" spans="3:27" s="217" customFormat="1" x14ac:dyDescent="0.25">
      <c r="C155" s="405"/>
      <c r="E155" s="218"/>
      <c r="F155" s="219"/>
      <c r="G155" s="222"/>
      <c r="H155" s="231" t="s">
        <v>542</v>
      </c>
      <c r="I155" s="229"/>
      <c r="J155" s="231" t="s">
        <v>542</v>
      </c>
      <c r="K155" s="221"/>
      <c r="L155" s="219"/>
      <c r="M155" s="219"/>
      <c r="N155" s="219"/>
      <c r="O155" s="219"/>
      <c r="P155" s="219"/>
      <c r="Q155" s="219"/>
      <c r="R155" s="219"/>
      <c r="S155" s="219"/>
      <c r="T155" s="219"/>
      <c r="U155" s="219"/>
      <c r="V155" s="219"/>
      <c r="W155" s="219"/>
      <c r="X155" s="219"/>
      <c r="Y155" s="219"/>
      <c r="Z155" s="219"/>
      <c r="AA155" s="219"/>
    </row>
    <row r="156" spans="3:27" s="217" customFormat="1" x14ac:dyDescent="0.25">
      <c r="C156" s="405"/>
      <c r="E156" s="218"/>
      <c r="F156" s="219"/>
      <c r="H156" s="224" t="s">
        <v>545</v>
      </c>
      <c r="I156" s="230"/>
      <c r="J156" s="224" t="s">
        <v>545</v>
      </c>
      <c r="K156" s="219"/>
      <c r="L156" s="219"/>
      <c r="M156" s="219"/>
      <c r="N156" s="219"/>
      <c r="O156" s="219"/>
      <c r="P156" s="219"/>
      <c r="Q156" s="219"/>
      <c r="R156" s="219"/>
      <c r="S156" s="219"/>
      <c r="T156" s="219"/>
      <c r="U156" s="219"/>
      <c r="V156" s="219"/>
      <c r="W156" s="219"/>
      <c r="X156" s="219"/>
      <c r="Y156" s="219"/>
      <c r="Z156" s="219"/>
      <c r="AA156" s="219"/>
    </row>
    <row r="157" spans="3:27" s="217" customFormat="1" x14ac:dyDescent="0.25">
      <c r="C157" s="405"/>
      <c r="E157" s="218"/>
      <c r="F157" s="219"/>
      <c r="G157" s="222" t="s">
        <v>535</v>
      </c>
      <c r="H157" s="223">
        <v>0.25</v>
      </c>
      <c r="I157" s="231"/>
      <c r="J157" s="227"/>
      <c r="K157" s="219"/>
      <c r="L157" s="219"/>
      <c r="M157" s="219"/>
      <c r="N157" s="219"/>
      <c r="O157" s="219"/>
      <c r="P157" s="219"/>
      <c r="Q157" s="219"/>
      <c r="R157" s="219"/>
      <c r="S157" s="219"/>
      <c r="T157" s="219"/>
      <c r="U157" s="219"/>
      <c r="V157" s="219"/>
      <c r="W157" s="219"/>
      <c r="X157" s="219"/>
      <c r="Y157" s="219"/>
      <c r="Z157" s="219"/>
      <c r="AA157" s="219"/>
    </row>
    <row r="158" spans="3:27" s="217" customFormat="1" x14ac:dyDescent="0.25">
      <c r="C158" s="405"/>
      <c r="E158" s="218"/>
      <c r="F158" s="219"/>
      <c r="G158" s="222" t="s">
        <v>536</v>
      </c>
      <c r="H158" s="223">
        <f>1-H157</f>
        <v>0.75</v>
      </c>
      <c r="I158" s="229"/>
      <c r="J158" s="227" t="str">
        <f>IF(1-J157=100%,"",1-J157)</f>
        <v/>
      </c>
      <c r="K158" s="219"/>
      <c r="L158" s="219"/>
      <c r="M158" s="219"/>
      <c r="N158" s="219"/>
      <c r="O158" s="219"/>
      <c r="P158" s="219"/>
      <c r="Q158" s="219"/>
      <c r="R158" s="219"/>
      <c r="S158" s="219"/>
      <c r="T158" s="219"/>
      <c r="U158" s="219"/>
      <c r="V158" s="219"/>
      <c r="W158" s="219"/>
      <c r="X158" s="219"/>
      <c r="Y158" s="219"/>
      <c r="Z158" s="219"/>
      <c r="AA158" s="219"/>
    </row>
    <row r="159" spans="3:27" s="217" customFormat="1" x14ac:dyDescent="0.25">
      <c r="C159" s="405"/>
      <c r="E159" s="218"/>
      <c r="F159" s="219"/>
      <c r="G159" s="222"/>
      <c r="H159" s="231" t="s">
        <v>543</v>
      </c>
      <c r="I159" s="229"/>
      <c r="J159" s="231" t="s">
        <v>543</v>
      </c>
      <c r="K159" s="219"/>
      <c r="L159" s="219"/>
      <c r="M159" s="219"/>
      <c r="N159" s="219"/>
      <c r="O159" s="219"/>
      <c r="P159" s="219"/>
      <c r="Q159" s="219"/>
      <c r="R159" s="219"/>
      <c r="S159" s="219"/>
      <c r="T159" s="219"/>
      <c r="U159" s="219"/>
      <c r="V159" s="219"/>
      <c r="W159" s="219"/>
      <c r="X159" s="219"/>
      <c r="Y159" s="219"/>
      <c r="Z159" s="219"/>
      <c r="AA159" s="219"/>
    </row>
    <row r="160" spans="3:27" s="217" customFormat="1" x14ac:dyDescent="0.25">
      <c r="C160" s="405"/>
      <c r="E160" s="218"/>
      <c r="F160" s="219"/>
      <c r="G160" s="25" t="s">
        <v>539</v>
      </c>
      <c r="H160" s="223">
        <v>0.5</v>
      </c>
      <c r="I160" s="231"/>
      <c r="J160" s="227"/>
      <c r="K160" s="219"/>
      <c r="L160" s="219"/>
      <c r="M160" s="219"/>
      <c r="N160" s="219"/>
      <c r="O160" s="219"/>
      <c r="P160" s="219"/>
      <c r="Q160" s="219"/>
      <c r="R160" s="219"/>
      <c r="S160" s="219"/>
      <c r="T160" s="219"/>
      <c r="U160" s="219"/>
      <c r="V160" s="219"/>
      <c r="W160" s="219"/>
      <c r="X160" s="219"/>
      <c r="Y160" s="219"/>
      <c r="Z160" s="219"/>
      <c r="AA160" s="219"/>
    </row>
    <row r="161" spans="3:27" s="217" customFormat="1" x14ac:dyDescent="0.25">
      <c r="C161" s="405"/>
      <c r="E161" s="218"/>
      <c r="F161" s="219"/>
      <c r="G161" s="25" t="s">
        <v>540</v>
      </c>
      <c r="H161" s="223">
        <v>0.25</v>
      </c>
      <c r="I161" s="231"/>
      <c r="J161" s="227"/>
      <c r="K161" s="219"/>
      <c r="L161" s="219"/>
      <c r="M161" s="219"/>
      <c r="N161" s="219"/>
      <c r="O161" s="219"/>
      <c r="P161" s="219"/>
      <c r="Q161" s="219"/>
      <c r="R161" s="219"/>
      <c r="S161" s="219"/>
      <c r="T161" s="219"/>
      <c r="U161" s="219"/>
      <c r="V161" s="219"/>
      <c r="W161" s="219"/>
      <c r="X161" s="219"/>
      <c r="Y161" s="219"/>
      <c r="Z161" s="219"/>
      <c r="AA161" s="219"/>
    </row>
    <row r="162" spans="3:27" s="217" customFormat="1" ht="14.4" x14ac:dyDescent="0.3">
      <c r="C162" s="405"/>
      <c r="E162" s="218"/>
      <c r="F162" s="219"/>
      <c r="G162" s="25" t="s">
        <v>541</v>
      </c>
      <c r="H162" s="223">
        <v>0.25</v>
      </c>
      <c r="I162" s="231"/>
      <c r="J162" s="227"/>
      <c r="K162" s="307" t="str">
        <f>IF(SUM(J160:J162)=0,"",IF(SUM(J160:J162)&lt;&gt;100%,"Values do not sum up to 100%",""))</f>
        <v/>
      </c>
      <c r="L162" s="219"/>
      <c r="M162" s="219"/>
      <c r="N162" s="219"/>
      <c r="O162" s="219"/>
      <c r="P162" s="219"/>
      <c r="Q162" s="219"/>
      <c r="R162" s="219"/>
      <c r="S162" s="219"/>
      <c r="T162" s="219"/>
      <c r="U162" s="219"/>
      <c r="V162" s="219"/>
      <c r="W162" s="219"/>
      <c r="X162" s="219"/>
      <c r="Y162" s="219"/>
      <c r="Z162" s="219"/>
      <c r="AA162" s="219"/>
    </row>
    <row r="163" spans="3:27" x14ac:dyDescent="0.25">
      <c r="C163" s="405"/>
    </row>
    <row r="164" spans="3:27" s="14" customFormat="1" x14ac:dyDescent="0.25">
      <c r="C164" s="405"/>
      <c r="E164" s="63"/>
      <c r="F164" s="243" t="s">
        <v>488</v>
      </c>
      <c r="G164" s="244"/>
      <c r="H164" s="245"/>
      <c r="I164" s="245"/>
      <c r="J164" s="245"/>
      <c r="K164" s="245"/>
      <c r="L164" s="245"/>
      <c r="M164" s="245"/>
      <c r="N164" s="245"/>
      <c r="O164" s="245"/>
      <c r="P164" s="245"/>
      <c r="Q164" s="245"/>
      <c r="R164" s="245"/>
      <c r="S164" s="245"/>
      <c r="T164" s="245"/>
      <c r="U164" s="245"/>
      <c r="V164" s="245"/>
      <c r="W164" s="245"/>
      <c r="X164" s="245"/>
      <c r="Y164" s="245"/>
      <c r="Z164" s="245"/>
      <c r="AA164" s="245"/>
    </row>
    <row r="165" spans="3:27" x14ac:dyDescent="0.25">
      <c r="C165" s="405"/>
    </row>
    <row r="166" spans="3:27" ht="14.4" x14ac:dyDescent="0.25">
      <c r="C166" s="405"/>
      <c r="G166" s="2" t="s">
        <v>558</v>
      </c>
      <c r="H166" s="49">
        <f>'VKS PAMATA DATI'!G35</f>
        <v>0</v>
      </c>
      <c r="I166" s="29"/>
      <c r="J166" s="38" t="s">
        <v>515</v>
      </c>
      <c r="K166" s="31"/>
      <c r="L166" s="31"/>
      <c r="M166" s="31"/>
      <c r="N166" s="31"/>
    </row>
    <row r="167" spans="3:27" ht="14.4" x14ac:dyDescent="0.25">
      <c r="C167" s="405"/>
      <c r="G167" s="2" t="s">
        <v>559</v>
      </c>
      <c r="H167" s="49">
        <f>'VKS PAMATA DATI'!G36</f>
        <v>0</v>
      </c>
      <c r="I167" s="29"/>
      <c r="J167" s="1" t="s">
        <v>203</v>
      </c>
      <c r="K167" s="14"/>
      <c r="L167" s="14"/>
      <c r="M167" s="14"/>
      <c r="N167" s="14"/>
    </row>
    <row r="168" spans="3:27" ht="14.4" x14ac:dyDescent="0.25">
      <c r="C168" s="405"/>
      <c r="G168" s="2" t="s">
        <v>560</v>
      </c>
      <c r="H168" s="49">
        <f>'VKS PAMATA DATI'!G37</f>
        <v>0</v>
      </c>
      <c r="I168" s="29"/>
      <c r="J168" s="14" t="s">
        <v>204</v>
      </c>
      <c r="K168" s="14"/>
      <c r="L168" s="14"/>
      <c r="M168" s="14"/>
      <c r="N168" s="14"/>
    </row>
    <row r="169" spans="3:27" x14ac:dyDescent="0.25">
      <c r="C169" s="405"/>
    </row>
    <row r="170" spans="3:27" s="14" customFormat="1" x14ac:dyDescent="0.25">
      <c r="C170" s="405"/>
      <c r="E170" s="63"/>
      <c r="F170" s="243" t="s">
        <v>510</v>
      </c>
      <c r="G170" s="244"/>
      <c r="H170" s="245"/>
      <c r="I170" s="245"/>
      <c r="J170" s="245"/>
      <c r="K170" s="245"/>
      <c r="L170" s="245"/>
      <c r="M170" s="245"/>
      <c r="N170" s="245"/>
      <c r="O170" s="245"/>
      <c r="P170" s="245"/>
      <c r="Q170" s="245"/>
      <c r="R170" s="245"/>
      <c r="S170" s="245"/>
      <c r="T170" s="245"/>
      <c r="U170" s="245"/>
      <c r="V170" s="245"/>
      <c r="W170" s="245"/>
      <c r="X170" s="245"/>
      <c r="Y170" s="245"/>
      <c r="Z170" s="245"/>
      <c r="AA170" s="245"/>
    </row>
    <row r="171" spans="3:27" x14ac:dyDescent="0.25">
      <c r="C171" s="405"/>
    </row>
    <row r="172" spans="3:27" ht="55.2" x14ac:dyDescent="0.25">
      <c r="C172" s="405"/>
      <c r="G172" s="14"/>
      <c r="H172" s="404" t="s">
        <v>503</v>
      </c>
      <c r="I172" s="404"/>
      <c r="J172" s="404"/>
      <c r="K172" s="8" t="s">
        <v>561</v>
      </c>
      <c r="L172" s="8" t="s">
        <v>562</v>
      </c>
      <c r="M172" s="8" t="s">
        <v>563</v>
      </c>
    </row>
    <row r="173" spans="3:27" x14ac:dyDescent="0.25">
      <c r="C173" s="405"/>
      <c r="G173" s="2" t="s">
        <v>205</v>
      </c>
      <c r="H173" s="403" t="str">
        <f>IF('VKS PAMATA DATI'!J41=0,"",'VKS PAMATA DATI'!J41)</f>
        <v/>
      </c>
      <c r="I173" s="403"/>
      <c r="J173" s="403"/>
      <c r="K173" s="269" t="str">
        <f>IF('VKS PAMATA DATI'!Q41=0,"",'VKS PAMATA DATI'!Q41)</f>
        <v/>
      </c>
      <c r="L173" s="269" t="str">
        <f>IF('VKS PAMATA DATI'!R41=0,"",'VKS PAMATA DATI'!R41)</f>
        <v/>
      </c>
      <c r="M173" s="269" t="str">
        <f>IF('VKS PAMATA DATI'!S41=0,"",'VKS PAMATA DATI'!S41)</f>
        <v/>
      </c>
    </row>
    <row r="174" spans="3:27" x14ac:dyDescent="0.25">
      <c r="C174" s="405"/>
      <c r="G174" s="2" t="s">
        <v>206</v>
      </c>
      <c r="H174" s="403" t="str">
        <f>IF('VKS PAMATA DATI'!J42=0,"",'VKS PAMATA DATI'!J42)</f>
        <v/>
      </c>
      <c r="I174" s="403"/>
      <c r="J174" s="403"/>
      <c r="K174" s="269" t="str">
        <f>IF('VKS PAMATA DATI'!Q42=0,"",'VKS PAMATA DATI'!Q42)</f>
        <v/>
      </c>
      <c r="L174" s="269" t="str">
        <f>IF('VKS PAMATA DATI'!R42=0,"",'VKS PAMATA DATI'!R42)</f>
        <v/>
      </c>
      <c r="M174" s="269" t="str">
        <f>IF('VKS PAMATA DATI'!S42=0,"",'VKS PAMATA DATI'!S42)</f>
        <v/>
      </c>
    </row>
    <row r="175" spans="3:27" s="14" customFormat="1" x14ac:dyDescent="0.25">
      <c r="C175" s="405"/>
      <c r="E175" s="63"/>
      <c r="F175" s="1"/>
      <c r="G175" s="2" t="s">
        <v>207</v>
      </c>
      <c r="H175" s="403" t="str">
        <f>IF('VKS PAMATA DATI'!J43=0,"",'VKS PAMATA DATI'!J43)</f>
        <v/>
      </c>
      <c r="I175" s="403"/>
      <c r="J175" s="403"/>
      <c r="K175" s="269" t="str">
        <f>IF('VKS PAMATA DATI'!Q43=0,"",'VKS PAMATA DATI'!Q43)</f>
        <v/>
      </c>
      <c r="L175" s="269" t="str">
        <f>IF('VKS PAMATA DATI'!R43=0,"",'VKS PAMATA DATI'!R43)</f>
        <v/>
      </c>
      <c r="M175" s="269" t="str">
        <f>IF('VKS PAMATA DATI'!S43=0,"",'VKS PAMATA DATI'!S43)</f>
        <v/>
      </c>
    </row>
    <row r="176" spans="3:27" ht="14.4" x14ac:dyDescent="0.25">
      <c r="C176" s="405"/>
      <c r="F176" s="104"/>
      <c r="G176" s="2" t="s">
        <v>208</v>
      </c>
      <c r="H176" s="403" t="str">
        <f>IF('VKS PAMATA DATI'!J44=0,"",'VKS PAMATA DATI'!J44)</f>
        <v/>
      </c>
      <c r="I176" s="403"/>
      <c r="J176" s="403"/>
      <c r="K176" s="269" t="str">
        <f>IF('VKS PAMATA DATI'!Q44=0,"",'VKS PAMATA DATI'!Q44)</f>
        <v/>
      </c>
      <c r="L176" s="269" t="str">
        <f>IF('VKS PAMATA DATI'!R44=0,"",'VKS PAMATA DATI'!R44)</f>
        <v/>
      </c>
      <c r="M176" s="269" t="str">
        <f>IF('VKS PAMATA DATI'!S44=0,"",'VKS PAMATA DATI'!S44)</f>
        <v/>
      </c>
      <c r="N176" s="29"/>
    </row>
    <row r="177" spans="3:27" ht="14.4" x14ac:dyDescent="0.25">
      <c r="C177" s="405"/>
      <c r="F177" s="104"/>
      <c r="G177" s="2" t="s">
        <v>209</v>
      </c>
      <c r="H177" s="403" t="str">
        <f>IF('VKS PAMATA DATI'!J45=0,"",'VKS PAMATA DATI'!J45)</f>
        <v/>
      </c>
      <c r="I177" s="403"/>
      <c r="J177" s="403"/>
      <c r="K177" s="269" t="str">
        <f>IF('VKS PAMATA DATI'!Q45=0,"",'VKS PAMATA DATI'!Q45)</f>
        <v/>
      </c>
      <c r="L177" s="269" t="str">
        <f>IF('VKS PAMATA DATI'!R45=0,"",'VKS PAMATA DATI'!R45)</f>
        <v/>
      </c>
      <c r="M177" s="269" t="str">
        <f>IF('VKS PAMATA DATI'!S45=0,"",'VKS PAMATA DATI'!S45)</f>
        <v/>
      </c>
      <c r="N177" s="29"/>
    </row>
    <row r="178" spans="3:27" ht="14.4" x14ac:dyDescent="0.25">
      <c r="C178" s="405"/>
      <c r="F178" s="104"/>
      <c r="G178" s="2" t="s">
        <v>210</v>
      </c>
      <c r="H178" s="403" t="str">
        <f>IF('VKS PAMATA DATI'!J46=0,"",'VKS PAMATA DATI'!J46)</f>
        <v/>
      </c>
      <c r="I178" s="403"/>
      <c r="J178" s="403"/>
      <c r="K178" s="269" t="str">
        <f>IF('VKS PAMATA DATI'!Q46=0,"",'VKS PAMATA DATI'!Q46)</f>
        <v/>
      </c>
      <c r="L178" s="269" t="str">
        <f>IF('VKS PAMATA DATI'!R46=0,"",'VKS PAMATA DATI'!R46)</f>
        <v/>
      </c>
      <c r="M178" s="269" t="str">
        <f>IF('VKS PAMATA DATI'!S46=0,"",'VKS PAMATA DATI'!S46)</f>
        <v/>
      </c>
      <c r="N178" s="29"/>
    </row>
    <row r="179" spans="3:27" ht="14.4" x14ac:dyDescent="0.25">
      <c r="C179" s="405"/>
      <c r="G179" s="2" t="s">
        <v>211</v>
      </c>
      <c r="H179" s="403" t="str">
        <f>IF('VKS PAMATA DATI'!J47=0,"",'VKS PAMATA DATI'!J47)</f>
        <v/>
      </c>
      <c r="I179" s="403"/>
      <c r="J179" s="403"/>
      <c r="K179" s="269" t="str">
        <f>IF('VKS PAMATA DATI'!Q47=0,"",'VKS PAMATA DATI'!Q47)</f>
        <v/>
      </c>
      <c r="L179" s="269" t="str">
        <f>IF('VKS PAMATA DATI'!R47=0,"",'VKS PAMATA DATI'!R47)</f>
        <v/>
      </c>
      <c r="M179" s="269" t="str">
        <f>IF('VKS PAMATA DATI'!S47=0,"",'VKS PAMATA DATI'!S47)</f>
        <v/>
      </c>
      <c r="N179" s="29"/>
    </row>
    <row r="180" spans="3:27" ht="14.4" x14ac:dyDescent="0.25">
      <c r="C180" s="405"/>
      <c r="G180" s="2" t="s">
        <v>212</v>
      </c>
      <c r="H180" s="403" t="str">
        <f>IF('VKS PAMATA DATI'!J48=0,"",'VKS PAMATA DATI'!J48)</f>
        <v/>
      </c>
      <c r="I180" s="403"/>
      <c r="J180" s="403"/>
      <c r="K180" s="269" t="str">
        <f>IF('VKS PAMATA DATI'!Q48=0,"",'VKS PAMATA DATI'!Q48)</f>
        <v/>
      </c>
      <c r="L180" s="269" t="str">
        <f>IF('VKS PAMATA DATI'!R48=0,"",'VKS PAMATA DATI'!R48)</f>
        <v/>
      </c>
      <c r="M180" s="269" t="str">
        <f>IF('VKS PAMATA DATI'!S48=0,"",'VKS PAMATA DATI'!S48)</f>
        <v/>
      </c>
      <c r="N180" s="29"/>
    </row>
    <row r="181" spans="3:27" ht="14.4" x14ac:dyDescent="0.25">
      <c r="C181" s="405"/>
      <c r="G181" s="2" t="s">
        <v>213</v>
      </c>
      <c r="H181" s="403" t="str">
        <f>IF('VKS PAMATA DATI'!J49=0,"",'VKS PAMATA DATI'!J49)</f>
        <v/>
      </c>
      <c r="I181" s="403"/>
      <c r="J181" s="403"/>
      <c r="K181" s="269" t="str">
        <f>IF('VKS PAMATA DATI'!Q49=0,"",'VKS PAMATA DATI'!Q49)</f>
        <v/>
      </c>
      <c r="L181" s="269" t="str">
        <f>IF('VKS PAMATA DATI'!R49=0,"",'VKS PAMATA DATI'!R49)</f>
        <v/>
      </c>
      <c r="M181" s="269" t="str">
        <f>IF('VKS PAMATA DATI'!S49=0,"",'VKS PAMATA DATI'!S49)</f>
        <v/>
      </c>
      <c r="N181" s="37"/>
    </row>
    <row r="182" spans="3:27" ht="14.4" x14ac:dyDescent="0.25">
      <c r="C182" s="405"/>
      <c r="G182" s="2" t="s">
        <v>214</v>
      </c>
      <c r="H182" s="403" t="str">
        <f>IF('VKS PAMATA DATI'!J50=0,"",'VKS PAMATA DATI'!J50)</f>
        <v/>
      </c>
      <c r="I182" s="403"/>
      <c r="J182" s="403"/>
      <c r="K182" s="269" t="str">
        <f>IF('VKS PAMATA DATI'!Q50=0,"",'VKS PAMATA DATI'!Q50)</f>
        <v/>
      </c>
      <c r="L182" s="269" t="str">
        <f>IF('VKS PAMATA DATI'!R50=0,"",'VKS PAMATA DATI'!R50)</f>
        <v/>
      </c>
      <c r="M182" s="269" t="str">
        <f>IF('VKS PAMATA DATI'!S50=0,"",'VKS PAMATA DATI'!S50)</f>
        <v/>
      </c>
      <c r="N182" s="37"/>
    </row>
    <row r="183" spans="3:27" ht="14.4" x14ac:dyDescent="0.25">
      <c r="C183" s="405"/>
      <c r="G183" s="2" t="s">
        <v>291</v>
      </c>
      <c r="H183" s="403" t="str">
        <f>IF('VKS PAMATA DATI'!J51=0,"",'VKS PAMATA DATI'!J51)</f>
        <v/>
      </c>
      <c r="I183" s="403"/>
      <c r="J183" s="403"/>
      <c r="K183" s="269" t="str">
        <f>IF('VKS PAMATA DATI'!Q51=0,"",'VKS PAMATA DATI'!Q51)</f>
        <v/>
      </c>
      <c r="L183" s="269" t="str">
        <f>IF('VKS PAMATA DATI'!R51=0,"",'VKS PAMATA DATI'!R51)</f>
        <v/>
      </c>
      <c r="M183" s="269" t="str">
        <f>IF('VKS PAMATA DATI'!S51=0,"",'VKS PAMATA DATI'!S51)</f>
        <v/>
      </c>
      <c r="N183" s="37"/>
    </row>
    <row r="184" spans="3:27" ht="14.4" x14ac:dyDescent="0.25">
      <c r="C184" s="405"/>
      <c r="G184" s="2" t="s">
        <v>292</v>
      </c>
      <c r="H184" s="403" t="str">
        <f>IF('VKS PAMATA DATI'!J52=0,"",'VKS PAMATA DATI'!J52)</f>
        <v/>
      </c>
      <c r="I184" s="403"/>
      <c r="J184" s="403"/>
      <c r="K184" s="269" t="str">
        <f>IF('VKS PAMATA DATI'!Q52=0,"",'VKS PAMATA DATI'!Q52)</f>
        <v/>
      </c>
      <c r="L184" s="269" t="str">
        <f>IF('VKS PAMATA DATI'!R52=0,"",'VKS PAMATA DATI'!R52)</f>
        <v/>
      </c>
      <c r="M184" s="269" t="str">
        <f>IF('VKS PAMATA DATI'!S52=0,"",'VKS PAMATA DATI'!S52)</f>
        <v/>
      </c>
      <c r="N184" s="37"/>
    </row>
    <row r="185" spans="3:27" ht="14.4" x14ac:dyDescent="0.25">
      <c r="C185" s="405"/>
      <c r="G185" s="2" t="s">
        <v>293</v>
      </c>
      <c r="H185" s="403" t="str">
        <f>IF('VKS PAMATA DATI'!J53=0,"",'VKS PAMATA DATI'!J53)</f>
        <v/>
      </c>
      <c r="I185" s="403"/>
      <c r="J185" s="403"/>
      <c r="K185" s="269" t="str">
        <f>IF('VKS PAMATA DATI'!Q53=0,"",'VKS PAMATA DATI'!Q53)</f>
        <v/>
      </c>
      <c r="L185" s="269" t="str">
        <f>IF('VKS PAMATA DATI'!R53=0,"",'VKS PAMATA DATI'!R53)</f>
        <v/>
      </c>
      <c r="M185" s="269" t="str">
        <f>IF('VKS PAMATA DATI'!S53=0,"",'VKS PAMATA DATI'!S53)</f>
        <v/>
      </c>
      <c r="N185" s="37"/>
    </row>
    <row r="186" spans="3:27" ht="14.4" x14ac:dyDescent="0.25">
      <c r="C186" s="405"/>
      <c r="G186" s="2" t="s">
        <v>294</v>
      </c>
      <c r="H186" s="403" t="str">
        <f>IF('VKS PAMATA DATI'!J54=0,"",'VKS PAMATA DATI'!J54)</f>
        <v/>
      </c>
      <c r="I186" s="403"/>
      <c r="J186" s="403"/>
      <c r="K186" s="269" t="str">
        <f>IF('VKS PAMATA DATI'!Q54=0,"",'VKS PAMATA DATI'!Q54)</f>
        <v/>
      </c>
      <c r="L186" s="269" t="str">
        <f>IF('VKS PAMATA DATI'!R54=0,"",'VKS PAMATA DATI'!R54)</f>
        <v/>
      </c>
      <c r="M186" s="269" t="str">
        <f>IF('VKS PAMATA DATI'!S54=0,"",'VKS PAMATA DATI'!S54)</f>
        <v/>
      </c>
      <c r="N186" s="37"/>
    </row>
    <row r="187" spans="3:27" ht="14.4" x14ac:dyDescent="0.25">
      <c r="C187" s="405"/>
      <c r="G187" s="2" t="s">
        <v>295</v>
      </c>
      <c r="H187" s="403" t="str">
        <f>IF('VKS PAMATA DATI'!J55=0,"",'VKS PAMATA DATI'!J55)</f>
        <v/>
      </c>
      <c r="I187" s="403"/>
      <c r="J187" s="403"/>
      <c r="K187" s="269" t="str">
        <f>IF('VKS PAMATA DATI'!Q55=0,"",'VKS PAMATA DATI'!Q55)</f>
        <v/>
      </c>
      <c r="L187" s="269" t="str">
        <f>IF('VKS PAMATA DATI'!R55=0,"",'VKS PAMATA DATI'!R55)</f>
        <v/>
      </c>
      <c r="M187" s="269" t="str">
        <f>IF('VKS PAMATA DATI'!S55=0,"",'VKS PAMATA DATI'!S55)</f>
        <v/>
      </c>
      <c r="N187" s="37"/>
    </row>
    <row r="188" spans="3:27" ht="14.4" x14ac:dyDescent="0.25">
      <c r="C188" s="405"/>
      <c r="G188" s="108"/>
      <c r="H188" s="122"/>
      <c r="J188" s="122" t="s">
        <v>549</v>
      </c>
      <c r="K188" s="257" t="str">
        <f>IFERROR(MEDIAN(K173:K187),"0")</f>
        <v>0</v>
      </c>
      <c r="L188" s="257" t="str">
        <f>IFERROR(MEDIAN(L173:L187),"0")</f>
        <v>0</v>
      </c>
      <c r="M188" s="257" t="str">
        <f>IFERROR(MEDIAN(M173:M187),"0")</f>
        <v>0</v>
      </c>
      <c r="N188" s="37"/>
    </row>
    <row r="189" spans="3:27" ht="14.4" x14ac:dyDescent="0.25">
      <c r="C189" s="405"/>
      <c r="N189" s="37"/>
    </row>
    <row r="190" spans="3:27" s="14" customFormat="1" x14ac:dyDescent="0.25">
      <c r="C190" s="405"/>
      <c r="E190" s="63"/>
      <c r="F190" s="243" t="s">
        <v>521</v>
      </c>
      <c r="G190" s="244"/>
      <c r="H190" s="245"/>
      <c r="I190" s="245"/>
      <c r="J190" s="245"/>
      <c r="K190" s="245"/>
      <c r="L190" s="245"/>
      <c r="M190" s="245"/>
      <c r="N190" s="245"/>
      <c r="O190" s="245"/>
      <c r="P190" s="245"/>
      <c r="Q190" s="245"/>
      <c r="R190" s="245"/>
      <c r="S190" s="245"/>
      <c r="T190" s="245"/>
      <c r="U190" s="245"/>
      <c r="V190" s="245"/>
      <c r="W190" s="245"/>
      <c r="X190" s="245"/>
      <c r="Y190" s="245"/>
      <c r="Z190" s="245"/>
      <c r="AA190" s="245"/>
    </row>
    <row r="191" spans="3:27" s="105" customFormat="1" x14ac:dyDescent="0.25">
      <c r="C191" s="405"/>
      <c r="E191" s="106"/>
      <c r="H191" s="107"/>
      <c r="I191" s="108"/>
      <c r="J191" s="122"/>
      <c r="K191" s="122"/>
      <c r="L191" s="122"/>
      <c r="M191" s="122"/>
    </row>
    <row r="192" spans="3:27" x14ac:dyDescent="0.25">
      <c r="C192" s="405"/>
      <c r="F192" s="232"/>
      <c r="G192" s="233" t="s">
        <v>550</v>
      </c>
      <c r="H192" s="271">
        <f>IFERROR(IF(H144="Suggested",H160*H166+H161*H167+H162*H168,J160*H166+J161*H167+J162*H168),"")</f>
        <v>0</v>
      </c>
    </row>
    <row r="193" spans="1:27" x14ac:dyDescent="0.25">
      <c r="C193" s="405"/>
      <c r="F193" s="232"/>
      <c r="G193" s="233" t="s">
        <v>564</v>
      </c>
      <c r="H193" s="49" t="str">
        <f>IFERROR(AVERAGE(K188:M188),"")</f>
        <v/>
      </c>
    </row>
    <row r="194" spans="1:27" x14ac:dyDescent="0.25">
      <c r="C194" s="405"/>
      <c r="G194" s="2" t="s">
        <v>565</v>
      </c>
      <c r="H194" s="49" t="str">
        <f>IFERROR(IF(H144="Suggested",IF(AND(H145&gt;0,H145&lt;6),(H192*H149+H193*H150),IF(H145&lt;11,(H192*H153+H193*H154),(H192*H157+H193*H158))),IF(AND(H145&gt;0,H145&lt;6),(H192*J149+H193*J150),IF(H145&lt;11,(H192*J153+H193*J154),(H192*J157+H193*J158)))),"")</f>
        <v/>
      </c>
    </row>
    <row r="195" spans="1:27" x14ac:dyDescent="0.25">
      <c r="A195" s="1" t="s">
        <v>235</v>
      </c>
      <c r="F195" s="31"/>
      <c r="G195" s="31"/>
      <c r="H195" s="36"/>
      <c r="I195" s="31"/>
      <c r="J195" s="31"/>
      <c r="K195" s="36"/>
      <c r="L195" s="31"/>
      <c r="M195" s="31"/>
      <c r="N195" s="31"/>
      <c r="O195" s="31"/>
      <c r="P195" s="31"/>
      <c r="Q195" s="31"/>
      <c r="R195" s="31"/>
      <c r="S195" s="31"/>
      <c r="T195" s="31"/>
      <c r="U195" s="31"/>
      <c r="V195" s="31"/>
      <c r="W195" s="31"/>
      <c r="X195" s="31"/>
      <c r="Y195" s="31"/>
      <c r="Z195" s="31"/>
      <c r="AA195" s="31"/>
    </row>
    <row r="196" spans="1:27" x14ac:dyDescent="0.25">
      <c r="K196" s="3"/>
    </row>
  </sheetData>
  <mergeCells count="46">
    <mergeCell ref="B5:C5"/>
    <mergeCell ref="B6:C6"/>
    <mergeCell ref="B7:C7"/>
    <mergeCell ref="H186:J186"/>
    <mergeCell ref="H187:J187"/>
    <mergeCell ref="C8:C47"/>
    <mergeCell ref="C51:C126"/>
    <mergeCell ref="C130:C194"/>
    <mergeCell ref="H66:J66"/>
    <mergeCell ref="H67:J67"/>
    <mergeCell ref="H181:J181"/>
    <mergeCell ref="H182:J182"/>
    <mergeCell ref="H183:J183"/>
    <mergeCell ref="H184:J184"/>
    <mergeCell ref="H185:J185"/>
    <mergeCell ref="H176:J176"/>
    <mergeCell ref="H177:J177"/>
    <mergeCell ref="H178:J178"/>
    <mergeCell ref="H179:J179"/>
    <mergeCell ref="H180:J180"/>
    <mergeCell ref="H172:J172"/>
    <mergeCell ref="H173:J173"/>
    <mergeCell ref="H174:J174"/>
    <mergeCell ref="H175:J175"/>
    <mergeCell ref="H110:J110"/>
    <mergeCell ref="H103:J103"/>
    <mergeCell ref="H104:J104"/>
    <mergeCell ref="H105:J105"/>
    <mergeCell ref="H106:J106"/>
    <mergeCell ref="H107:J107"/>
    <mergeCell ref="F3:H3"/>
    <mergeCell ref="H144:J144"/>
    <mergeCell ref="H145:J145"/>
    <mergeCell ref="B2:C2"/>
    <mergeCell ref="B3:C3"/>
    <mergeCell ref="B4:C4"/>
    <mergeCell ref="H96:J96"/>
    <mergeCell ref="H97:J97"/>
    <mergeCell ref="H95:J95"/>
    <mergeCell ref="H98:J98"/>
    <mergeCell ref="H99:J99"/>
    <mergeCell ref="H100:J100"/>
    <mergeCell ref="H101:J101"/>
    <mergeCell ref="H102:J102"/>
    <mergeCell ref="H108:J108"/>
    <mergeCell ref="H109:J109"/>
  </mergeCells>
  <phoneticPr fontId="2" type="noConversion"/>
  <conditionalFormatting sqref="H69 H71:H72 H75:H76 H79:H80 H82:H84">
    <cfRule type="expression" dxfId="45" priority="7">
      <formula>$H$66="Discretionary"</formula>
    </cfRule>
  </conditionalFormatting>
  <conditionalFormatting sqref="H147 H149:H150 H153:H154 H157:H158 H160:H162">
    <cfRule type="expression" dxfId="44" priority="4">
      <formula>$H$144="Discretionary"</formula>
    </cfRule>
  </conditionalFormatting>
  <conditionalFormatting sqref="J69 J71 J75 J79 J82:J84">
    <cfRule type="expression" dxfId="43" priority="9">
      <formula>$H$66="Discretionary"</formula>
    </cfRule>
  </conditionalFormatting>
  <conditionalFormatting sqref="J70:J72">
    <cfRule type="expression" dxfId="42" priority="1">
      <formula>AND($H$66="Discretionary",AND($H$67&lt;6,$H$67&gt;1))</formula>
    </cfRule>
  </conditionalFormatting>
  <conditionalFormatting sqref="J72 J76 J80">
    <cfRule type="expression" dxfId="41" priority="8">
      <formula>$H$66="Discretionary"</formula>
    </cfRule>
  </conditionalFormatting>
  <conditionalFormatting sqref="J147 J149 J153 J157 J160:J162">
    <cfRule type="expression" dxfId="40" priority="6">
      <formula>$H$144="Discretionary"</formula>
    </cfRule>
  </conditionalFormatting>
  <conditionalFormatting sqref="J150 J154 J158">
    <cfRule type="expression" dxfId="39" priority="5">
      <formula>$H$144="Discretionary"</formula>
    </cfRule>
  </conditionalFormatting>
  <hyperlinks>
    <hyperlink ref="B6" location="'SOE DETAILS'!A1" display="SOE DETAILS" xr:uid="{0432F515-C740-42EC-ACDC-AC4454624895}"/>
    <hyperlink ref="B6:C6" location="'VKS PAMATA DATI'!A1" display="VKS PAMATA DATI" xr:uid="{92D0EFD6-AE0D-4A79-92AE-2A6B4B96CEE0}"/>
    <hyperlink ref="B4:C4" location="IEVADS!A1" display="IEVADS" xr:uid="{B8CBD959-FF04-42CD-8BE0-3249F5DA71F1}"/>
    <hyperlink ref="B5:C5" location="PROCESS!A1" display="PROCESS" xr:uid="{446282AB-E2D8-4DBA-AA38-DB6ADA7A7424}"/>
    <hyperlink ref="B7:C7" location="'FINANŠU MĒRĶU NOTEIKŠANA'!A1" display="FINANŠU MĒRĶU NOTEIKŠANA" xr:uid="{2864641D-71E4-483E-9E4E-E8395CAF481B}"/>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2B59876-FDE9-4629-A1B6-F10F7D5635D3}">
          <x14:formula1>
            <xm:f>'VKS PAMATA DATI'!$AG$5:$AG$7</xm:f>
          </x14:formula1>
          <xm:sqref>H66 H144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AD6E-A48E-4A97-8714-BB3A4209E952}">
  <sheetPr codeName="Sheet20">
    <tabColor theme="4" tint="-0.249977111117893"/>
  </sheetPr>
  <dimension ref="B2:AA34"/>
  <sheetViews>
    <sheetView showGridLines="0" zoomScale="85" zoomScaleNormal="85" workbookViewId="0">
      <selection activeCell="F10" sqref="F1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73.5546875" style="1" customWidth="1"/>
    <col min="7" max="16" width="9.21875" style="1"/>
    <col min="17" max="21" width="10.77734375" style="1" customWidth="1"/>
    <col min="22" max="22" width="9.21875" style="1"/>
    <col min="23" max="23" width="5.21875" style="1" bestFit="1" customWidth="1"/>
    <col min="24" max="24" width="8" style="1" bestFit="1" customWidth="1"/>
    <col min="25" max="16384" width="9.21875" style="1"/>
  </cols>
  <sheetData>
    <row r="2" spans="2:27" x14ac:dyDescent="0.25">
      <c r="B2" s="374" t="s">
        <v>191</v>
      </c>
      <c r="C2" s="374"/>
      <c r="F2" s="17" t="s">
        <v>195</v>
      </c>
      <c r="G2" s="16"/>
      <c r="H2" s="16"/>
      <c r="I2" s="16"/>
      <c r="J2" s="16"/>
      <c r="K2" s="16"/>
      <c r="L2" s="16"/>
      <c r="M2" s="16"/>
      <c r="N2" s="16"/>
      <c r="O2" s="16"/>
      <c r="P2" s="16"/>
      <c r="Q2" s="16"/>
      <c r="R2" s="16"/>
      <c r="S2" s="16"/>
      <c r="T2" s="16"/>
      <c r="U2" s="16"/>
      <c r="V2" s="16"/>
      <c r="W2" s="16"/>
      <c r="X2" s="16"/>
      <c r="Y2" s="16"/>
      <c r="Z2" s="16"/>
      <c r="AA2" s="16"/>
    </row>
    <row r="3" spans="2:27" x14ac:dyDescent="0.25">
      <c r="B3" s="375" t="s">
        <v>192</v>
      </c>
      <c r="C3" s="375"/>
      <c r="F3" s="18" t="s">
        <v>188</v>
      </c>
      <c r="G3" s="10"/>
      <c r="H3" s="10"/>
      <c r="I3" s="10"/>
      <c r="J3" s="10"/>
      <c r="K3" s="10"/>
      <c r="L3" s="10"/>
      <c r="M3" s="10"/>
      <c r="N3" s="10"/>
      <c r="O3" s="10"/>
      <c r="P3" s="10"/>
      <c r="Q3" s="10"/>
      <c r="R3" s="10"/>
      <c r="S3" s="10"/>
      <c r="T3" s="10"/>
      <c r="U3" s="10"/>
      <c r="V3" s="10"/>
      <c r="W3" s="10"/>
      <c r="X3" s="10"/>
      <c r="Y3" s="10"/>
      <c r="Z3" s="10"/>
      <c r="AA3" s="10"/>
    </row>
    <row r="4" spans="2:27" ht="20.399999999999999" x14ac:dyDescent="0.25">
      <c r="B4" s="398" t="s">
        <v>189</v>
      </c>
      <c r="C4" s="398"/>
      <c r="F4" s="12" t="s">
        <v>179</v>
      </c>
      <c r="G4" s="11"/>
      <c r="H4" s="11"/>
      <c r="I4" s="11"/>
      <c r="J4" s="11"/>
      <c r="K4" s="11"/>
      <c r="L4" s="11"/>
      <c r="M4" s="11"/>
      <c r="N4" s="11"/>
      <c r="O4" s="11"/>
      <c r="P4" s="11"/>
      <c r="Q4" s="11"/>
      <c r="R4" s="11"/>
      <c r="S4" s="11"/>
      <c r="T4" s="11"/>
      <c r="U4" s="11"/>
      <c r="V4" s="11"/>
      <c r="W4" s="11"/>
      <c r="X4" s="11"/>
      <c r="Y4" s="11"/>
      <c r="Z4" s="11"/>
      <c r="AA4" s="11"/>
    </row>
    <row r="6" spans="2:27" x14ac:dyDescent="0.25">
      <c r="F6" s="25">
        <f>IF('VKS PAMATA DATI'!G13&lt;&gt;"N/A",'VKS PAMATA DATI'!G44,"D|E")</f>
        <v>0</v>
      </c>
      <c r="G6" s="276">
        <f>IF('VKS PAMATA DATI'!G13&lt;&gt;"N/A",'FINANŠU MĒRĶU NOTEIKŠANA'!H47,'SD_BM (f)'!H72)</f>
        <v>0</v>
      </c>
      <c r="H6" s="44" t="s">
        <v>451</v>
      </c>
    </row>
    <row r="7" spans="2:27" ht="15" customHeight="1" x14ac:dyDescent="0.25">
      <c r="F7" s="2"/>
      <c r="G7" s="14"/>
      <c r="H7" s="14"/>
      <c r="N7" s="14"/>
      <c r="O7" s="14"/>
    </row>
    <row r="8" spans="2:27" ht="15" customHeight="1" x14ac:dyDescent="0.25">
      <c r="F8" s="2"/>
      <c r="J8" s="14"/>
      <c r="K8" s="65" t="s">
        <v>251</v>
      </c>
      <c r="L8" s="65"/>
      <c r="M8" s="65"/>
      <c r="N8" s="114"/>
      <c r="O8" s="14"/>
    </row>
    <row r="9" spans="2:27" ht="15" customHeight="1" x14ac:dyDescent="0.25">
      <c r="F9" s="2"/>
      <c r="G9" s="3" t="s">
        <v>349</v>
      </c>
      <c r="H9" s="3" t="s">
        <v>348</v>
      </c>
      <c r="I9" s="3" t="s">
        <v>347</v>
      </c>
      <c r="J9" s="291" t="s">
        <v>178</v>
      </c>
      <c r="K9" s="115" t="s">
        <v>247</v>
      </c>
      <c r="L9" s="115" t="s">
        <v>248</v>
      </c>
      <c r="M9" s="115" t="s">
        <v>249</v>
      </c>
      <c r="N9" s="115" t="s">
        <v>250</v>
      </c>
      <c r="O9" s="27" t="s">
        <v>246</v>
      </c>
      <c r="W9" s="52" t="s">
        <v>239</v>
      </c>
      <c r="X9" s="14"/>
      <c r="Y9" s="14"/>
      <c r="Z9" s="14"/>
      <c r="AA9" s="14"/>
    </row>
    <row r="10" spans="2:27" ht="15" customHeight="1" x14ac:dyDescent="0.25">
      <c r="F10" s="2" t="s">
        <v>318</v>
      </c>
      <c r="G10" s="266">
        <f>IF('VKS PAMATA DATI'!G13="N/A",'VKS PAMATA DATI'!N13,'VKS PAMATA DATI'!G48)</f>
        <v>0</v>
      </c>
      <c r="H10" s="266">
        <f>IF('VKS PAMATA DATI'!G13="N/A",'VKS PAMATA DATI'!M13,'VKS PAMATA DATI'!G47)</f>
        <v>0</v>
      </c>
      <c r="I10" s="266">
        <f>IF('VKS PAMATA DATI'!G13="N/A",'VKS PAMATA DATI'!L13,'VKS PAMATA DATI'!G46)</f>
        <v>0</v>
      </c>
      <c r="J10" s="266">
        <f>IF('VKS PAMATA DATI'!G13="N/A",'VKS PAMATA DATI'!K13,'VKS PAMATA DATI'!G45)</f>
        <v>0</v>
      </c>
      <c r="K10" s="123"/>
      <c r="L10" s="123"/>
      <c r="M10" s="123"/>
      <c r="N10" s="123"/>
      <c r="O10" s="308">
        <f>O11</f>
        <v>0</v>
      </c>
      <c r="Q10" s="379" t="s">
        <v>442</v>
      </c>
      <c r="R10" s="379"/>
      <c r="S10" s="379"/>
      <c r="T10" s="379"/>
      <c r="U10" s="379"/>
      <c r="W10" s="52"/>
      <c r="X10" s="14"/>
      <c r="Y10" s="14"/>
      <c r="Z10" s="14"/>
      <c r="AA10" s="14"/>
    </row>
    <row r="11" spans="2:27" x14ac:dyDescent="0.25">
      <c r="F11" s="2" t="str">
        <f>CONCATENATE("Linear/stepped approach ",'FINANŠU MĒRĶU NOTEIKŠANA'!H42)</f>
        <v xml:space="preserve">Linear/stepped approach </v>
      </c>
      <c r="G11" s="266"/>
      <c r="H11" s="266"/>
      <c r="I11" s="266"/>
      <c r="J11" s="266">
        <f>J10</f>
        <v>0</v>
      </c>
      <c r="K11" s="279">
        <f>IFERROR(J11-($J$11-$O$12)/5,"")</f>
        <v>0</v>
      </c>
      <c r="L11" s="279">
        <f>IFERROR(K11-($J$11-$O$12)/5,"")</f>
        <v>0</v>
      </c>
      <c r="M11" s="279">
        <f>IFERROR(L11-($J$11-$O$12)/5,"")</f>
        <v>0</v>
      </c>
      <c r="N11" s="279">
        <f>IFERROR(M11-($J$11-$O$12)/5,"")</f>
        <v>0</v>
      </c>
      <c r="O11" s="308">
        <f>O12</f>
        <v>0</v>
      </c>
      <c r="Q11" s="379"/>
      <c r="R11" s="379"/>
      <c r="S11" s="379"/>
      <c r="T11" s="379"/>
      <c r="U11" s="379"/>
      <c r="W11" s="75" t="s">
        <v>237</v>
      </c>
      <c r="X11" s="277">
        <f>ROUNDDOWN(MIN(G10:O14),2)</f>
        <v>0</v>
      </c>
      <c r="Y11" s="77" t="e" cm="1">
        <f t="array" aca="1" ref="Y11" ca="1">setChartAxis("COM_CS (f)","Chart COM_CS1","Min","Value","Primary",X11)</f>
        <v>#NAME?</v>
      </c>
      <c r="Z11" s="77"/>
      <c r="AA11" s="78"/>
    </row>
    <row r="12" spans="2:27" x14ac:dyDescent="0.25">
      <c r="F12" s="116" t="str">
        <f>H6</f>
        <v>Benchmark value CY+5</v>
      </c>
      <c r="G12" s="273"/>
      <c r="H12" s="273"/>
      <c r="I12" s="273"/>
      <c r="J12" s="273"/>
      <c r="K12" s="273"/>
      <c r="L12" s="273"/>
      <c r="M12" s="273"/>
      <c r="N12" s="273"/>
      <c r="O12" s="274">
        <f>G6</f>
        <v>0</v>
      </c>
      <c r="Q12" s="379"/>
      <c r="R12" s="379"/>
      <c r="S12" s="379"/>
      <c r="T12" s="379"/>
      <c r="U12" s="379"/>
      <c r="W12" s="79" t="s">
        <v>238</v>
      </c>
      <c r="X12" s="278">
        <f>ROUNDUP(MAX(G10:O14),2)</f>
        <v>0</v>
      </c>
      <c r="Y12" s="81" t="e" cm="1">
        <f t="array" aca="1" ref="Y12" ca="1">setChartAxis("COM_CS (f)","Chart COM_CS1","Max","Value","Primary",X12)</f>
        <v>#NAME?</v>
      </c>
      <c r="Z12" s="81"/>
      <c r="AA12" s="82"/>
    </row>
    <row r="13" spans="2:27" x14ac:dyDescent="0.25">
      <c r="F13" s="25" t="s">
        <v>350</v>
      </c>
      <c r="G13" s="273"/>
      <c r="H13" s="273"/>
      <c r="I13" s="273"/>
      <c r="J13" s="273"/>
      <c r="K13" s="273"/>
      <c r="L13" s="273"/>
      <c r="M13" s="273"/>
      <c r="N13" s="275"/>
      <c r="O13" s="266">
        <f>IFERROR(IF(G6&lt;0.065,G6*0.75,G6*0.85),"")</f>
        <v>0</v>
      </c>
      <c r="Q13" s="379"/>
      <c r="R13" s="379"/>
      <c r="S13" s="379"/>
      <c r="T13" s="379"/>
      <c r="U13" s="379"/>
    </row>
    <row r="14" spans="2:27" x14ac:dyDescent="0.25">
      <c r="F14" s="25" t="s">
        <v>351</v>
      </c>
      <c r="G14" s="273"/>
      <c r="H14" s="273"/>
      <c r="I14" s="273"/>
      <c r="J14" s="273"/>
      <c r="K14" s="273"/>
      <c r="L14" s="273"/>
      <c r="M14" s="273"/>
      <c r="N14" s="275"/>
      <c r="O14" s="266">
        <f>IFERROR(IF(G6&lt;0.065,G6*1.25,G6*1.15),"")</f>
        <v>0</v>
      </c>
      <c r="Q14" s="379"/>
      <c r="R14" s="379"/>
      <c r="S14" s="379"/>
      <c r="T14" s="379"/>
      <c r="U14" s="379"/>
    </row>
    <row r="15" spans="2:27" x14ac:dyDescent="0.25">
      <c r="F15" s="2"/>
      <c r="G15" s="14"/>
      <c r="H15" s="14"/>
      <c r="N15" s="14"/>
      <c r="O15" s="14"/>
    </row>
    <row r="16" spans="2:27" s="14" customFormat="1" x14ac:dyDescent="0.25">
      <c r="E16" s="63"/>
      <c r="F16" s="1"/>
      <c r="Q16" s="38" t="s">
        <v>202</v>
      </c>
      <c r="R16" s="38"/>
      <c r="S16" s="38"/>
      <c r="T16" s="38"/>
      <c r="U16" s="38"/>
      <c r="V16" s="38"/>
      <c r="W16" s="38"/>
      <c r="X16" s="38"/>
      <c r="Y16" s="38"/>
      <c r="Z16" s="38"/>
      <c r="AA16" s="38"/>
    </row>
    <row r="17" spans="5:18" s="14" customFormat="1" x14ac:dyDescent="0.25">
      <c r="E17" s="63"/>
      <c r="Q17" s="1" t="s">
        <v>352</v>
      </c>
    </row>
    <row r="18" spans="5:18" s="14" customFormat="1" x14ac:dyDescent="0.3">
      <c r="E18" s="63"/>
    </row>
    <row r="19" spans="5:18" s="14" customFormat="1" x14ac:dyDescent="0.3">
      <c r="E19" s="63"/>
    </row>
    <row r="20" spans="5:18" s="14" customFormat="1" x14ac:dyDescent="0.3">
      <c r="E20" s="63"/>
    </row>
    <row r="21" spans="5:18" x14ac:dyDescent="0.25">
      <c r="F21" s="14"/>
      <c r="K21" s="14"/>
      <c r="L21" s="14"/>
      <c r="M21" s="14"/>
      <c r="N21" s="14"/>
      <c r="O21" s="14"/>
      <c r="P21" s="14"/>
      <c r="Q21" s="14"/>
      <c r="R21" s="14"/>
    </row>
    <row r="22" spans="5:18" s="14" customFormat="1" x14ac:dyDescent="0.3">
      <c r="E22" s="63"/>
    </row>
    <row r="23" spans="5:18" s="14" customFormat="1" x14ac:dyDescent="0.25">
      <c r="E23" s="63"/>
      <c r="F23" s="1"/>
    </row>
    <row r="24" spans="5:18" s="14" customFormat="1" x14ac:dyDescent="0.25">
      <c r="E24" s="63"/>
      <c r="F24" s="1"/>
    </row>
    <row r="25" spans="5:18" s="14" customFormat="1" x14ac:dyDescent="0.25">
      <c r="E25" s="63"/>
      <c r="F25" s="1"/>
    </row>
    <row r="26" spans="5:18" s="14" customFormat="1" x14ac:dyDescent="0.25">
      <c r="E26" s="63"/>
      <c r="F26" s="1"/>
    </row>
    <row r="27" spans="5:18" x14ac:dyDescent="0.25">
      <c r="K27" s="14"/>
      <c r="L27" s="14"/>
      <c r="M27" s="14"/>
      <c r="N27" s="14"/>
      <c r="O27" s="14"/>
      <c r="P27" s="14"/>
      <c r="Q27" s="14"/>
      <c r="R27" s="14"/>
    </row>
    <row r="28" spans="5:18" x14ac:dyDescent="0.25">
      <c r="K28" s="14"/>
      <c r="L28" s="14"/>
      <c r="M28" s="14"/>
      <c r="N28" s="14"/>
      <c r="O28" s="14"/>
      <c r="P28" s="14"/>
      <c r="Q28" s="14"/>
      <c r="R28" s="14"/>
    </row>
    <row r="29" spans="5:18" x14ac:dyDescent="0.25">
      <c r="K29" s="14"/>
      <c r="L29" s="14"/>
      <c r="M29" s="14"/>
      <c r="N29" s="14"/>
      <c r="O29" s="14"/>
      <c r="P29" s="14"/>
      <c r="Q29" s="14"/>
      <c r="R29" s="14"/>
    </row>
    <row r="30" spans="5:18" x14ac:dyDescent="0.25">
      <c r="K30" s="14"/>
      <c r="L30" s="14"/>
      <c r="M30" s="14"/>
      <c r="N30" s="14"/>
      <c r="O30" s="14"/>
      <c r="P30" s="14"/>
      <c r="Q30" s="14"/>
      <c r="R30" s="14"/>
    </row>
    <row r="31" spans="5:18" x14ac:dyDescent="0.25">
      <c r="K31" s="14"/>
      <c r="L31" s="14"/>
      <c r="M31" s="14"/>
      <c r="N31" s="14"/>
      <c r="O31" s="14"/>
      <c r="P31" s="14"/>
      <c r="Q31" s="14"/>
      <c r="R31" s="14"/>
    </row>
    <row r="32" spans="5:18" x14ac:dyDescent="0.25">
      <c r="K32" s="14"/>
      <c r="L32" s="14"/>
      <c r="M32" s="14"/>
      <c r="N32" s="14"/>
      <c r="O32" s="14"/>
      <c r="P32" s="14"/>
      <c r="Q32" s="14"/>
      <c r="R32" s="14"/>
    </row>
    <row r="33" spans="11:18" x14ac:dyDescent="0.25">
      <c r="K33" s="14"/>
      <c r="L33" s="14"/>
      <c r="M33" s="14"/>
      <c r="N33" s="14"/>
      <c r="O33" s="14"/>
      <c r="P33" s="14"/>
      <c r="Q33" s="14"/>
      <c r="R33" s="14"/>
    </row>
    <row r="34" spans="11:18" x14ac:dyDescent="0.25">
      <c r="K34" s="14"/>
      <c r="L34" s="14"/>
      <c r="M34" s="14"/>
      <c r="N34" s="14"/>
      <c r="O34" s="14"/>
      <c r="P34" s="14"/>
      <c r="Q34" s="14"/>
      <c r="R34" s="14"/>
    </row>
  </sheetData>
  <mergeCells count="4">
    <mergeCell ref="B2:C2"/>
    <mergeCell ref="B3:C3"/>
    <mergeCell ref="B4:C4"/>
    <mergeCell ref="Q10:U14"/>
  </mergeCells>
  <hyperlinks>
    <hyperlink ref="B4" location="'SOE DETAILS'!A1" display="SOE DETAILS" xr:uid="{2605154A-2017-471C-B55C-8E0BC63797D9}"/>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D52DA-FCCD-4784-826D-00C93D7E9D07}">
  <sheetPr codeName="Sheet21">
    <tabColor theme="4" tint="-0.249977111117893"/>
  </sheetPr>
  <dimension ref="B2:AB46"/>
  <sheetViews>
    <sheetView showGridLines="0" zoomScale="85" zoomScaleNormal="85" workbookViewId="0">
      <selection activeCell="F10" sqref="F10"/>
    </sheetView>
  </sheetViews>
  <sheetFormatPr defaultColWidth="9.21875" defaultRowHeight="13.8" x14ac:dyDescent="0.25"/>
  <cols>
    <col min="1" max="1" width="1.5546875" style="1" customWidth="1"/>
    <col min="2" max="3" width="6.77734375" style="1" customWidth="1"/>
    <col min="4" max="4" width="1.77734375" style="1" customWidth="1"/>
    <col min="5" max="5" width="1.5546875" style="62" customWidth="1"/>
    <col min="6" max="6" width="67.44140625" style="1" customWidth="1"/>
    <col min="7" max="16" width="9.21875" style="1" customWidth="1"/>
    <col min="17" max="21" width="11.77734375" style="1" customWidth="1"/>
    <col min="22" max="24" width="9.21875" style="1"/>
    <col min="25" max="25" width="6.77734375" style="1" bestFit="1" customWidth="1"/>
    <col min="26" max="26" width="9.44140625" style="1" bestFit="1" customWidth="1"/>
    <col min="27" max="16384" width="9.21875" style="1"/>
  </cols>
  <sheetData>
    <row r="2" spans="2:28" x14ac:dyDescent="0.25">
      <c r="B2" s="374" t="s">
        <v>191</v>
      </c>
      <c r="C2" s="374"/>
      <c r="F2" s="17" t="s">
        <v>195</v>
      </c>
      <c r="G2" s="16"/>
      <c r="H2" s="16"/>
      <c r="I2" s="16"/>
      <c r="J2" s="16"/>
      <c r="K2" s="16"/>
      <c r="L2" s="16"/>
      <c r="M2" s="16"/>
      <c r="N2" s="16"/>
      <c r="O2" s="16"/>
      <c r="P2" s="16"/>
      <c r="Q2" s="16"/>
      <c r="R2" s="16"/>
      <c r="S2" s="16"/>
      <c r="T2" s="16"/>
      <c r="U2" s="16"/>
      <c r="V2" s="16"/>
      <c r="W2" s="16"/>
      <c r="X2" s="16"/>
      <c r="Y2" s="16"/>
      <c r="Z2" s="16"/>
      <c r="AA2" s="16"/>
    </row>
    <row r="3" spans="2:28" x14ac:dyDescent="0.25">
      <c r="B3" s="375" t="s">
        <v>192</v>
      </c>
      <c r="C3" s="375"/>
      <c r="F3" s="18" t="s">
        <v>188</v>
      </c>
      <c r="G3" s="10"/>
      <c r="H3" s="10"/>
      <c r="I3" s="10"/>
      <c r="J3" s="10"/>
      <c r="K3" s="10"/>
      <c r="L3" s="10"/>
      <c r="M3" s="10"/>
      <c r="N3" s="10"/>
      <c r="O3" s="10"/>
      <c r="P3" s="10"/>
      <c r="Q3" s="10"/>
      <c r="R3" s="10"/>
      <c r="S3" s="10"/>
      <c r="T3" s="10"/>
      <c r="U3" s="10"/>
      <c r="V3" s="10"/>
      <c r="W3" s="10"/>
      <c r="X3" s="10"/>
      <c r="Y3" s="10"/>
      <c r="Z3" s="10"/>
      <c r="AA3" s="10"/>
    </row>
    <row r="4" spans="2:28" ht="20.399999999999999" x14ac:dyDescent="0.25">
      <c r="B4" s="398" t="s">
        <v>189</v>
      </c>
      <c r="C4" s="398"/>
      <c r="F4" s="12" t="s">
        <v>194</v>
      </c>
      <c r="G4" s="11"/>
      <c r="H4" s="11"/>
      <c r="I4" s="11"/>
      <c r="J4" s="11"/>
      <c r="K4" s="11"/>
      <c r="L4" s="11"/>
      <c r="M4" s="11"/>
      <c r="N4" s="11"/>
      <c r="O4" s="11"/>
      <c r="P4" s="11"/>
      <c r="Q4" s="11"/>
      <c r="R4" s="11"/>
      <c r="S4" s="11"/>
      <c r="T4" s="11"/>
      <c r="U4" s="11"/>
      <c r="V4" s="11"/>
      <c r="W4" s="11"/>
      <c r="X4" s="11"/>
      <c r="Y4" s="11"/>
      <c r="Z4" s="11"/>
      <c r="AA4" s="11"/>
    </row>
    <row r="6" spans="2:28" x14ac:dyDescent="0.25">
      <c r="F6" s="25" t="s">
        <v>363</v>
      </c>
      <c r="G6" s="280" t="str">
        <f>'FINANŠU MĒRĶU NOTEIKŠANA'!H117</f>
        <v/>
      </c>
      <c r="H6" s="44" t="s">
        <v>452</v>
      </c>
    </row>
    <row r="7" spans="2:28" x14ac:dyDescent="0.25">
      <c r="F7" s="25"/>
      <c r="H7" s="44"/>
      <c r="O7" s="14"/>
      <c r="P7" s="14"/>
      <c r="Q7" s="14"/>
      <c r="R7" s="14"/>
      <c r="S7" s="14"/>
      <c r="T7" s="14"/>
      <c r="U7" s="14"/>
      <c r="V7" s="14"/>
    </row>
    <row r="8" spans="2:28" x14ac:dyDescent="0.25">
      <c r="F8" s="25" t="s">
        <v>363</v>
      </c>
      <c r="G8" s="280">
        <f>'VKS PAMATA DATI'!G58</f>
        <v>0</v>
      </c>
      <c r="H8" s="44" t="s">
        <v>453</v>
      </c>
      <c r="O8" s="14"/>
      <c r="P8" s="14"/>
      <c r="Q8" s="14"/>
      <c r="R8" s="14"/>
      <c r="S8" s="14"/>
      <c r="T8" s="14"/>
      <c r="U8" s="14"/>
      <c r="V8" s="14"/>
    </row>
    <row r="9" spans="2:28" x14ac:dyDescent="0.25">
      <c r="G9" s="44"/>
      <c r="H9" s="44"/>
      <c r="O9" s="14"/>
      <c r="P9" s="14"/>
      <c r="Q9" s="14"/>
      <c r="R9" s="14"/>
      <c r="S9" s="14"/>
      <c r="T9" s="14"/>
      <c r="U9" s="14"/>
      <c r="V9" s="14"/>
    </row>
    <row r="10" spans="2:28" x14ac:dyDescent="0.25">
      <c r="F10" s="25" t="s">
        <v>363</v>
      </c>
      <c r="G10" s="280">
        <f>'VKS PAMATA DATI'!G60</f>
        <v>0</v>
      </c>
      <c r="H10" s="44" t="s">
        <v>454</v>
      </c>
      <c r="O10" s="14"/>
      <c r="P10" s="14"/>
      <c r="Q10" s="14"/>
      <c r="R10" s="14"/>
      <c r="S10" s="14"/>
      <c r="T10" s="14"/>
      <c r="U10" s="14"/>
      <c r="V10" s="14"/>
    </row>
    <row r="11" spans="2:28" x14ac:dyDescent="0.25">
      <c r="F11" s="25"/>
      <c r="G11" s="44"/>
      <c r="H11" s="44"/>
      <c r="O11" s="14"/>
      <c r="P11" s="14"/>
      <c r="Q11" s="14"/>
      <c r="R11" s="14"/>
      <c r="S11" s="14"/>
      <c r="T11" s="14"/>
      <c r="U11" s="14"/>
      <c r="V11" s="14"/>
    </row>
    <row r="12" spans="2:28" s="14" customFormat="1" x14ac:dyDescent="0.3">
      <c r="E12" s="63"/>
      <c r="F12" s="25"/>
      <c r="X12" s="52" t="s">
        <v>239</v>
      </c>
    </row>
    <row r="13" spans="2:28" s="14" customFormat="1" x14ac:dyDescent="0.3">
      <c r="E13" s="63"/>
      <c r="F13" s="25"/>
      <c r="G13" s="27" t="s">
        <v>178</v>
      </c>
      <c r="H13" s="27"/>
      <c r="I13" s="27"/>
      <c r="X13" s="75" t="s">
        <v>237</v>
      </c>
      <c r="Y13" s="285">
        <f>ROUNDDOWN(MIN(G23:O27),2)</f>
        <v>0</v>
      </c>
      <c r="Z13" s="77" t="e" cm="1">
        <f t="array" aca="1" ref="Z13" ca="1">setChartAxis("COM_RT (f)","Chart COM_RT2","Min","Value","Primary",Y13)</f>
        <v>#NAME?</v>
      </c>
      <c r="AA13" s="77"/>
      <c r="AB13" s="78"/>
    </row>
    <row r="14" spans="2:28" s="14" customFormat="1" x14ac:dyDescent="0.3">
      <c r="E14" s="63"/>
      <c r="F14" s="251" t="s">
        <v>353</v>
      </c>
      <c r="G14" s="360">
        <f>'VKS PAMATA DATI'!R9</f>
        <v>0</v>
      </c>
      <c r="H14" s="110"/>
      <c r="I14" s="110"/>
      <c r="X14" s="79" t="s">
        <v>238</v>
      </c>
      <c r="Y14" s="286">
        <f>ROUNDUP(MAX(G23:O27),2)</f>
        <v>0</v>
      </c>
      <c r="Z14" s="81" t="e" cm="1">
        <f t="array" aca="1" ref="Z14" ca="1">setChartAxis("COM_RT (f)","Chart COM_RT2","Max","Value","Primary",Y14)</f>
        <v>#NAME?</v>
      </c>
      <c r="AA14" s="81"/>
      <c r="AB14" s="82"/>
    </row>
    <row r="15" spans="2:28" s="14" customFormat="1" x14ac:dyDescent="0.3">
      <c r="E15" s="63"/>
      <c r="F15" s="25" t="s">
        <v>224</v>
      </c>
      <c r="G15" s="50" t="str">
        <f>IFERROR(G14/SUM(G14,G16,G18),"")</f>
        <v/>
      </c>
      <c r="H15" s="111"/>
      <c r="I15" s="111"/>
      <c r="X15" s="52"/>
      <c r="Y15" s="52"/>
      <c r="Z15" s="52"/>
      <c r="AA15" s="52"/>
      <c r="AB15" s="52"/>
    </row>
    <row r="16" spans="2:28" s="14" customFormat="1" x14ac:dyDescent="0.3">
      <c r="E16" s="63"/>
      <c r="F16" s="251" t="s">
        <v>354</v>
      </c>
      <c r="G16" s="284">
        <f>'VKS PAMATA DATI'!R10</f>
        <v>0</v>
      </c>
      <c r="H16" s="110"/>
      <c r="I16" s="110"/>
      <c r="X16" s="52" t="s">
        <v>239</v>
      </c>
    </row>
    <row r="17" spans="5:28" s="14" customFormat="1" x14ac:dyDescent="0.3">
      <c r="E17" s="63"/>
      <c r="F17" s="25" t="s">
        <v>225</v>
      </c>
      <c r="G17" s="49" t="str">
        <f>IFERROR(G16/SUM(G14,G16,G18),"")</f>
        <v/>
      </c>
      <c r="H17" s="112"/>
      <c r="I17" s="112"/>
      <c r="X17" s="75" t="s">
        <v>237</v>
      </c>
      <c r="Y17" s="285">
        <f>ROUNDDOWN(MIN(G31:O35),2)</f>
        <v>0</v>
      </c>
      <c r="Z17" s="77" t="e" cm="1">
        <f t="array" aca="1" ref="Z17" ca="1">setChartAxis("COM_RT (f)","Chart COM_RT3","Min","Value","Primary",Y17)</f>
        <v>#NAME?</v>
      </c>
      <c r="AA17" s="77"/>
      <c r="AB17" s="78"/>
    </row>
    <row r="18" spans="5:28" s="14" customFormat="1" x14ac:dyDescent="0.3">
      <c r="E18" s="63"/>
      <c r="F18" s="251" t="s">
        <v>355</v>
      </c>
      <c r="G18" s="284">
        <f>'VKS PAMATA DATI'!R11</f>
        <v>0</v>
      </c>
      <c r="H18" s="112"/>
      <c r="I18" s="112"/>
      <c r="X18" s="79" t="s">
        <v>238</v>
      </c>
      <c r="Y18" s="286">
        <f>ROUNDUP(MAX(G31:O35),2)</f>
        <v>0</v>
      </c>
      <c r="Z18" s="81" t="e" cm="1">
        <f t="array" aca="1" ref="Z18" ca="1">setChartAxis("COM_RT (f)","Chart COM_RT3","Max","Value","Primary",Y18)</f>
        <v>#NAME?</v>
      </c>
      <c r="AA18" s="81"/>
      <c r="AB18" s="82"/>
    </row>
    <row r="19" spans="5:28" s="14" customFormat="1" x14ac:dyDescent="0.3">
      <c r="E19" s="63"/>
      <c r="F19" s="25" t="s">
        <v>259</v>
      </c>
      <c r="G19" s="49" t="str">
        <f>IFERROR(G18/SUM(G14,G16,G18),"")</f>
        <v/>
      </c>
      <c r="H19" s="112"/>
      <c r="I19" s="112"/>
      <c r="X19" s="52"/>
      <c r="Y19" s="119"/>
      <c r="Z19" s="52"/>
      <c r="AA19" s="52"/>
      <c r="AB19" s="52"/>
    </row>
    <row r="20" spans="5:28" s="14" customFormat="1" x14ac:dyDescent="0.3">
      <c r="E20" s="63"/>
      <c r="F20" s="25"/>
      <c r="H20" s="112"/>
      <c r="I20" s="112"/>
      <c r="X20" s="52" t="s">
        <v>239</v>
      </c>
    </row>
    <row r="21" spans="5:28" s="14" customFormat="1" x14ac:dyDescent="0.3">
      <c r="E21" s="63"/>
      <c r="F21" s="25"/>
      <c r="K21" s="65" t="s">
        <v>251</v>
      </c>
      <c r="L21" s="65"/>
      <c r="M21" s="65"/>
      <c r="N21" s="114"/>
      <c r="X21" s="75" t="s">
        <v>237</v>
      </c>
      <c r="Y21" s="285">
        <f>ROUNDDOWN(MIN(G39:O43),2)</f>
        <v>0</v>
      </c>
      <c r="Z21" s="77" t="e" cm="1">
        <f t="array" aca="1" ref="Z21" ca="1">setChartAxis("COM_RT (f)","Chart COM_RT4","Min","Value","Primary",Y21)</f>
        <v>#NAME?</v>
      </c>
      <c r="AA21" s="77"/>
      <c r="AB21" s="78"/>
    </row>
    <row r="22" spans="5:28" s="14" customFormat="1" ht="14.25" customHeight="1" x14ac:dyDescent="0.25">
      <c r="E22" s="63"/>
      <c r="F22" s="25"/>
      <c r="G22" s="3" t="s">
        <v>349</v>
      </c>
      <c r="H22" s="3" t="s">
        <v>348</v>
      </c>
      <c r="I22" s="3" t="s">
        <v>347</v>
      </c>
      <c r="J22" s="291" t="s">
        <v>178</v>
      </c>
      <c r="K22" s="115" t="s">
        <v>247</v>
      </c>
      <c r="L22" s="115" t="s">
        <v>248</v>
      </c>
      <c r="M22" s="115" t="s">
        <v>249</v>
      </c>
      <c r="N22" s="115" t="s">
        <v>250</v>
      </c>
      <c r="O22" s="27" t="s">
        <v>246</v>
      </c>
      <c r="Q22" s="379" t="s">
        <v>443</v>
      </c>
      <c r="R22" s="379"/>
      <c r="S22" s="379"/>
      <c r="T22" s="379"/>
      <c r="U22" s="379"/>
      <c r="X22" s="79" t="s">
        <v>238</v>
      </c>
      <c r="Y22" s="286">
        <f>ROUNDUP(MAX(G39:O43),2)</f>
        <v>0</v>
      </c>
      <c r="Z22" s="81" t="e" cm="1">
        <f t="array" aca="1" ref="Z22" ca="1">setChartAxis("COM_RT (f)","Chart COM_RT4","Max","Value","Primary",Y22)</f>
        <v>#NAME?</v>
      </c>
      <c r="AA22" s="81"/>
      <c r="AB22" s="82"/>
    </row>
    <row r="23" spans="5:28" s="14" customFormat="1" ht="14.25" customHeight="1" x14ac:dyDescent="0.25">
      <c r="E23" s="63"/>
      <c r="F23" s="2" t="s">
        <v>358</v>
      </c>
      <c r="G23" s="271">
        <f>'VKS PAMATA DATI'!U13</f>
        <v>0</v>
      </c>
      <c r="H23" s="271">
        <f>'VKS PAMATA DATI'!T13</f>
        <v>0</v>
      </c>
      <c r="I23" s="271">
        <f>'VKS PAMATA DATI'!S13</f>
        <v>0</v>
      </c>
      <c r="J23" s="292">
        <f>'VKS PAMATA DATI'!R13</f>
        <v>0</v>
      </c>
      <c r="K23" s="287"/>
      <c r="L23" s="287"/>
      <c r="M23" s="287"/>
      <c r="N23" s="287"/>
      <c r="O23" s="311" t="str">
        <f>O24</f>
        <v/>
      </c>
      <c r="Q23" s="379"/>
      <c r="R23" s="379"/>
      <c r="S23" s="379"/>
      <c r="T23" s="379"/>
      <c r="U23" s="379"/>
    </row>
    <row r="24" spans="5:28" s="14" customFormat="1" x14ac:dyDescent="0.25">
      <c r="E24" s="63"/>
      <c r="F24" s="2" t="s">
        <v>357</v>
      </c>
      <c r="G24" s="271"/>
      <c r="H24" s="271"/>
      <c r="I24" s="271"/>
      <c r="J24" s="292">
        <f>'VKS PAMATA DATI'!R13</f>
        <v>0</v>
      </c>
      <c r="K24" s="290" t="str">
        <f>IFERROR(J24-($J$24-$O$25)/5,"")</f>
        <v/>
      </c>
      <c r="L24" s="290" t="str">
        <f>IFERROR(K24-($J$24-$O$25)/5,"")</f>
        <v/>
      </c>
      <c r="M24" s="290" t="str">
        <f>IFERROR(L24-($J$24-$O$25)/5,"")</f>
        <v/>
      </c>
      <c r="N24" s="290" t="str">
        <f>IFERROR(M24-($J$24-$O$25)/5,"")</f>
        <v/>
      </c>
      <c r="O24" s="311" t="str">
        <f>O25</f>
        <v/>
      </c>
      <c r="Q24" s="379"/>
      <c r="R24" s="379"/>
      <c r="S24" s="379"/>
      <c r="T24" s="379"/>
      <c r="U24" s="379"/>
    </row>
    <row r="25" spans="5:28" s="14" customFormat="1" ht="13.5" customHeight="1" x14ac:dyDescent="0.3">
      <c r="E25" s="63"/>
      <c r="F25" s="116" t="str">
        <f>H6</f>
        <v>Benchmark value (commercial) CY+5</v>
      </c>
      <c r="G25" s="288"/>
      <c r="H25" s="288"/>
      <c r="I25" s="288"/>
      <c r="J25" s="288"/>
      <c r="K25" s="288"/>
      <c r="L25" s="288"/>
      <c r="M25" s="288"/>
      <c r="N25" s="288"/>
      <c r="O25" s="282" t="str">
        <f>G6</f>
        <v/>
      </c>
      <c r="Q25" s="379"/>
      <c r="R25" s="379"/>
      <c r="S25" s="379"/>
      <c r="T25" s="379"/>
      <c r="U25" s="379"/>
    </row>
    <row r="26" spans="5:28" s="14" customFormat="1" ht="13.5" customHeight="1" x14ac:dyDescent="0.3">
      <c r="E26" s="63"/>
      <c r="F26" s="25" t="s">
        <v>350</v>
      </c>
      <c r="G26" s="288"/>
      <c r="H26" s="288"/>
      <c r="I26" s="288"/>
      <c r="J26" s="288"/>
      <c r="K26" s="288"/>
      <c r="L26" s="288"/>
      <c r="M26" s="288"/>
      <c r="N26" s="288"/>
      <c r="O26" s="283" t="str">
        <f>IFERROR(IF(G6&lt;6.5%,G6*0.75,G6*0.85),"")</f>
        <v/>
      </c>
      <c r="Q26" s="379"/>
      <c r="R26" s="379"/>
      <c r="S26" s="379"/>
      <c r="T26" s="379"/>
      <c r="U26" s="379"/>
    </row>
    <row r="27" spans="5:28" s="14" customFormat="1" ht="13.5" customHeight="1" x14ac:dyDescent="0.3">
      <c r="E27" s="63"/>
      <c r="F27" s="25" t="s">
        <v>351</v>
      </c>
      <c r="G27" s="288"/>
      <c r="H27" s="288"/>
      <c r="I27" s="288"/>
      <c r="J27" s="288"/>
      <c r="K27" s="288"/>
      <c r="L27" s="288"/>
      <c r="M27" s="288"/>
      <c r="N27" s="288"/>
      <c r="O27" s="283" t="str">
        <f>IFERROR(IF(G6&lt;6.5%,G6*1.25,G6*1.15),"")</f>
        <v/>
      </c>
      <c r="Q27" s="379"/>
      <c r="R27" s="379"/>
      <c r="S27" s="379"/>
      <c r="T27" s="379"/>
      <c r="U27" s="379"/>
    </row>
    <row r="28" spans="5:28" s="14" customFormat="1" ht="13.5" customHeight="1" x14ac:dyDescent="0.25">
      <c r="E28" s="63"/>
      <c r="F28" s="2"/>
      <c r="G28" s="109"/>
      <c r="H28" s="113"/>
      <c r="I28" s="113"/>
      <c r="J28" s="289"/>
      <c r="K28" s="27"/>
      <c r="L28" s="27"/>
      <c r="M28" s="27"/>
      <c r="N28" s="27"/>
      <c r="O28" s="27"/>
      <c r="Q28" s="1"/>
      <c r="R28" s="1"/>
      <c r="S28" s="1"/>
      <c r="T28" s="1"/>
      <c r="U28" s="1"/>
    </row>
    <row r="29" spans="5:28" s="14" customFormat="1" x14ac:dyDescent="0.25">
      <c r="E29" s="63"/>
      <c r="F29" s="2"/>
      <c r="G29" s="27"/>
      <c r="H29" s="27"/>
      <c r="I29" s="27"/>
      <c r="J29" s="109"/>
      <c r="K29" s="114" t="s">
        <v>251</v>
      </c>
      <c r="L29" s="114"/>
      <c r="M29" s="114"/>
      <c r="N29" s="114"/>
      <c r="O29" s="27"/>
      <c r="Q29" s="38" t="s">
        <v>202</v>
      </c>
      <c r="R29" s="38"/>
      <c r="S29" s="38"/>
      <c r="T29" s="38"/>
      <c r="U29" s="38"/>
    </row>
    <row r="30" spans="5:28" s="14" customFormat="1" x14ac:dyDescent="0.25">
      <c r="E30" s="63"/>
      <c r="F30" s="2"/>
      <c r="G30" s="3" t="s">
        <v>349</v>
      </c>
      <c r="H30" s="3" t="s">
        <v>348</v>
      </c>
      <c r="I30" s="3" t="s">
        <v>347</v>
      </c>
      <c r="J30" s="291" t="s">
        <v>178</v>
      </c>
      <c r="K30" s="115" t="s">
        <v>247</v>
      </c>
      <c r="L30" s="115" t="s">
        <v>248</v>
      </c>
      <c r="M30" s="115" t="s">
        <v>249</v>
      </c>
      <c r="N30" s="115" t="s">
        <v>250</v>
      </c>
      <c r="O30" s="27" t="s">
        <v>246</v>
      </c>
      <c r="Q30" s="1" t="s">
        <v>352</v>
      </c>
    </row>
    <row r="31" spans="5:28" s="14" customFormat="1" x14ac:dyDescent="0.25">
      <c r="E31" s="63"/>
      <c r="F31" s="2" t="s">
        <v>359</v>
      </c>
      <c r="G31" s="271">
        <f>'VKS PAMATA DATI'!U14</f>
        <v>0</v>
      </c>
      <c r="H31" s="271">
        <f>'VKS PAMATA DATI'!T14</f>
        <v>0</v>
      </c>
      <c r="I31" s="271">
        <f>'VKS PAMATA DATI'!S14</f>
        <v>0</v>
      </c>
      <c r="J31" s="292">
        <f>'VKS PAMATA DATI'!R14</f>
        <v>0</v>
      </c>
      <c r="K31" s="287"/>
      <c r="L31" s="287"/>
      <c r="M31" s="287"/>
      <c r="N31" s="287"/>
      <c r="O31" s="311">
        <f>O32</f>
        <v>0</v>
      </c>
    </row>
    <row r="32" spans="5:28" s="14" customFormat="1" x14ac:dyDescent="0.25">
      <c r="E32" s="63"/>
      <c r="F32" s="2" t="s">
        <v>356</v>
      </c>
      <c r="G32" s="271"/>
      <c r="H32" s="271"/>
      <c r="I32" s="271"/>
      <c r="J32" s="292">
        <f>'VKS PAMATA DATI'!R14</f>
        <v>0</v>
      </c>
      <c r="K32" s="290">
        <f>IFERROR(J32-($J$32-$O$33)/5,"")</f>
        <v>0</v>
      </c>
      <c r="L32" s="290">
        <f>IFERROR(K32-($J$32-$O$33)/5,"")</f>
        <v>0</v>
      </c>
      <c r="M32" s="290">
        <f>IFERROR(L32-($J$32-$O$33)/5,"")</f>
        <v>0</v>
      </c>
      <c r="N32" s="290">
        <f>IFERROR(M32-($J$32-$O$33)/5,"")</f>
        <v>0</v>
      </c>
      <c r="O32" s="308">
        <f>O33</f>
        <v>0</v>
      </c>
    </row>
    <row r="33" spans="5:22" s="14" customFormat="1" x14ac:dyDescent="0.3">
      <c r="E33" s="63"/>
      <c r="F33" s="116" t="str">
        <f>H8</f>
        <v>Benchmark value (regulated) CY+5</v>
      </c>
      <c r="G33" s="288"/>
      <c r="H33" s="288"/>
      <c r="I33" s="288"/>
      <c r="J33" s="288"/>
      <c r="K33" s="288"/>
      <c r="L33" s="288"/>
      <c r="M33" s="288"/>
      <c r="N33" s="288"/>
      <c r="O33" s="282">
        <f>G8</f>
        <v>0</v>
      </c>
    </row>
    <row r="34" spans="5:22" s="14" customFormat="1" x14ac:dyDescent="0.3">
      <c r="E34" s="63"/>
      <c r="F34" s="25" t="s">
        <v>350</v>
      </c>
      <c r="G34" s="288"/>
      <c r="H34" s="288"/>
      <c r="I34" s="288"/>
      <c r="J34" s="288"/>
      <c r="K34" s="288"/>
      <c r="L34" s="288"/>
      <c r="M34" s="288"/>
      <c r="N34" s="288"/>
      <c r="O34" s="283">
        <f>IFERROR(IF(G8&lt;6.5%,G8*0.75,G8*0.85),"")</f>
        <v>0</v>
      </c>
    </row>
    <row r="35" spans="5:22" s="14" customFormat="1" x14ac:dyDescent="0.3">
      <c r="E35" s="63"/>
      <c r="F35" s="25" t="s">
        <v>351</v>
      </c>
      <c r="G35" s="288"/>
      <c r="H35" s="288"/>
      <c r="I35" s="288"/>
      <c r="J35" s="288"/>
      <c r="K35" s="288"/>
      <c r="L35" s="288"/>
      <c r="M35" s="288"/>
      <c r="N35" s="288"/>
      <c r="O35" s="283">
        <f>IFERROR(IF(G8&lt;6.5%,G8*1.25,G8*1.15),"")</f>
        <v>0</v>
      </c>
    </row>
    <row r="36" spans="5:22" s="14" customFormat="1" x14ac:dyDescent="0.3">
      <c r="E36" s="63"/>
      <c r="F36" s="25"/>
      <c r="G36" s="27"/>
      <c r="H36" s="27"/>
      <c r="I36" s="27"/>
      <c r="J36" s="27"/>
      <c r="K36" s="27"/>
      <c r="L36" s="27"/>
      <c r="M36" s="27"/>
      <c r="N36" s="27"/>
      <c r="O36" s="27"/>
    </row>
    <row r="37" spans="5:22" s="14" customFormat="1" x14ac:dyDescent="0.25">
      <c r="E37" s="63"/>
      <c r="F37" s="2"/>
      <c r="G37" s="27"/>
      <c r="H37" s="27"/>
      <c r="I37" s="27"/>
      <c r="J37" s="109"/>
      <c r="K37" s="114" t="s">
        <v>251</v>
      </c>
      <c r="L37" s="114"/>
      <c r="M37" s="114"/>
      <c r="N37" s="114"/>
      <c r="O37" s="27"/>
    </row>
    <row r="38" spans="5:22" s="14" customFormat="1" x14ac:dyDescent="0.25">
      <c r="E38" s="63"/>
      <c r="F38" s="2"/>
      <c r="G38" s="3" t="s">
        <v>349</v>
      </c>
      <c r="H38" s="3" t="s">
        <v>348</v>
      </c>
      <c r="I38" s="3" t="s">
        <v>347</v>
      </c>
      <c r="J38" s="291" t="s">
        <v>178</v>
      </c>
      <c r="K38" s="115" t="s">
        <v>247</v>
      </c>
      <c r="L38" s="115" t="s">
        <v>248</v>
      </c>
      <c r="M38" s="115" t="s">
        <v>249</v>
      </c>
      <c r="N38" s="115" t="s">
        <v>250</v>
      </c>
      <c r="O38" s="27" t="s">
        <v>246</v>
      </c>
    </row>
    <row r="39" spans="5:22" s="14" customFormat="1" x14ac:dyDescent="0.25">
      <c r="E39" s="63"/>
      <c r="F39" s="2" t="s">
        <v>361</v>
      </c>
      <c r="G39" s="271">
        <f>'VKS PAMATA DATI'!U15</f>
        <v>0</v>
      </c>
      <c r="H39" s="271">
        <f>'VKS PAMATA DATI'!T15</f>
        <v>0</v>
      </c>
      <c r="I39" s="271">
        <f>'VKS PAMATA DATI'!S15</f>
        <v>0</v>
      </c>
      <c r="J39" s="292">
        <f>'VKS PAMATA DATI'!R15</f>
        <v>0</v>
      </c>
      <c r="K39" s="287"/>
      <c r="L39" s="287"/>
      <c r="M39" s="287"/>
      <c r="N39" s="287"/>
      <c r="O39" s="311">
        <f>O40</f>
        <v>0</v>
      </c>
    </row>
    <row r="40" spans="5:22" s="14" customFormat="1" x14ac:dyDescent="0.25">
      <c r="E40" s="63"/>
      <c r="F40" s="2" t="s">
        <v>360</v>
      </c>
      <c r="G40" s="271"/>
      <c r="H40" s="271"/>
      <c r="I40" s="271"/>
      <c r="J40" s="292">
        <f>'VKS PAMATA DATI'!R15</f>
        <v>0</v>
      </c>
      <c r="K40" s="290">
        <f>IFERROR(J40-($J$40-$O$41)/5,"")</f>
        <v>0</v>
      </c>
      <c r="L40" s="290">
        <f>IFERROR(K40-($J$40-$O$41)/5,"")</f>
        <v>0</v>
      </c>
      <c r="M40" s="290">
        <f>IFERROR(L40-($J$40-$O$41)/5,"")</f>
        <v>0</v>
      </c>
      <c r="N40" s="290">
        <f>IFERROR(M40-($J$40-$O$41)/5,"")</f>
        <v>0</v>
      </c>
      <c r="O40" s="310">
        <f>O41</f>
        <v>0</v>
      </c>
      <c r="P40" s="1"/>
      <c r="Q40" s="1"/>
      <c r="R40" s="1"/>
      <c r="S40" s="1"/>
      <c r="T40" s="1"/>
      <c r="U40" s="1"/>
      <c r="V40" s="1"/>
    </row>
    <row r="41" spans="5:22" s="14" customFormat="1" x14ac:dyDescent="0.25">
      <c r="E41" s="63"/>
      <c r="F41" s="116" t="str">
        <f>H10</f>
        <v>Benchmark value (state financed) CY+5</v>
      </c>
      <c r="G41" s="288"/>
      <c r="H41" s="288"/>
      <c r="I41" s="288"/>
      <c r="J41" s="288"/>
      <c r="K41" s="288"/>
      <c r="L41" s="288"/>
      <c r="M41" s="288"/>
      <c r="N41" s="288"/>
      <c r="O41" s="282">
        <f>G10</f>
        <v>0</v>
      </c>
      <c r="P41" s="1"/>
      <c r="Q41" s="1"/>
      <c r="R41" s="1"/>
      <c r="S41" s="1"/>
      <c r="T41" s="1"/>
      <c r="U41" s="1"/>
      <c r="V41" s="1"/>
    </row>
    <row r="42" spans="5:22" s="14" customFormat="1" x14ac:dyDescent="0.25">
      <c r="E42" s="63"/>
      <c r="F42" s="25" t="s">
        <v>350</v>
      </c>
      <c r="G42" s="288"/>
      <c r="H42" s="288"/>
      <c r="I42" s="288"/>
      <c r="J42" s="288"/>
      <c r="K42" s="288"/>
      <c r="L42" s="288"/>
      <c r="M42" s="288"/>
      <c r="N42" s="288"/>
      <c r="O42" s="283">
        <f>IFERROR(IF(G10&lt;6.5%,G10*0.75,G10*0.85),"")</f>
        <v>0</v>
      </c>
      <c r="P42" s="1"/>
      <c r="Q42" s="1"/>
      <c r="R42" s="1"/>
      <c r="S42" s="1"/>
      <c r="T42" s="1"/>
      <c r="U42" s="1"/>
      <c r="V42" s="1"/>
    </row>
    <row r="43" spans="5:22" s="14" customFormat="1" x14ac:dyDescent="0.25">
      <c r="E43" s="63"/>
      <c r="F43" s="25" t="s">
        <v>351</v>
      </c>
      <c r="G43" s="288"/>
      <c r="H43" s="288"/>
      <c r="I43" s="288"/>
      <c r="J43" s="288"/>
      <c r="K43" s="288"/>
      <c r="L43" s="288"/>
      <c r="M43" s="288"/>
      <c r="N43" s="288"/>
      <c r="O43" s="283">
        <f>IFERROR(IF(G10&lt;6.5%,G10*1.25,G10*1.15),"")</f>
        <v>0</v>
      </c>
      <c r="P43" s="1"/>
      <c r="Q43" s="1"/>
      <c r="R43" s="1"/>
      <c r="S43" s="1"/>
      <c r="T43" s="1"/>
      <c r="U43" s="1"/>
      <c r="V43" s="1"/>
    </row>
    <row r="44" spans="5:22" s="14" customFormat="1" x14ac:dyDescent="0.25">
      <c r="E44" s="63"/>
      <c r="F44" s="25"/>
      <c r="O44" s="1"/>
      <c r="P44" s="1"/>
      <c r="Q44" s="1"/>
      <c r="R44" s="1"/>
      <c r="S44" s="1"/>
      <c r="T44" s="1"/>
      <c r="U44" s="1"/>
      <c r="V44" s="1"/>
    </row>
    <row r="45" spans="5:22" s="14" customFormat="1" x14ac:dyDescent="0.25">
      <c r="E45" s="63"/>
      <c r="F45" s="25"/>
      <c r="O45" s="1"/>
      <c r="P45" s="1"/>
      <c r="Q45" s="1"/>
      <c r="R45" s="1"/>
      <c r="S45" s="1"/>
      <c r="T45" s="1"/>
      <c r="U45" s="1"/>
      <c r="V45" s="1"/>
    </row>
    <row r="46" spans="5:22" s="14" customFormat="1" x14ac:dyDescent="0.25">
      <c r="E46" s="63"/>
      <c r="F46" s="25"/>
      <c r="O46" s="1"/>
      <c r="P46" s="1"/>
      <c r="Q46" s="1"/>
      <c r="R46" s="1"/>
      <c r="S46" s="1"/>
      <c r="T46" s="1"/>
      <c r="U46" s="1"/>
      <c r="V46" s="1"/>
    </row>
  </sheetData>
  <mergeCells count="4">
    <mergeCell ref="B2:C2"/>
    <mergeCell ref="B3:C3"/>
    <mergeCell ref="B4:C4"/>
    <mergeCell ref="Q22:U27"/>
  </mergeCells>
  <phoneticPr fontId="2" type="noConversion"/>
  <hyperlinks>
    <hyperlink ref="B4" location="'SOE DETAILS'!A1" display="SOE DETAILS" xr:uid="{C8E92C47-0152-4C8F-80F6-C1BB431931C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IEVADS</vt:lpstr>
      <vt:lpstr>PROCESS</vt:lpstr>
      <vt:lpstr>VKS PAMATA DATI</vt:lpstr>
      <vt:lpstr>SAL.UZŅ.</vt:lpstr>
      <vt:lpstr>IPO &gt;</vt:lpstr>
      <vt:lpstr>IPO_CC</vt:lpstr>
      <vt:lpstr>FINANŠU MĒRĶU NOTEIKŠANA</vt:lpstr>
      <vt:lpstr>KOM_KS (p)</vt:lpstr>
      <vt:lpstr>COM_RT (f)</vt:lpstr>
      <vt:lpstr>COM_DP (f)</vt:lpstr>
      <vt:lpstr>COM_Summary (f)</vt:lpstr>
      <vt:lpstr>SD_BM (f)</vt:lpstr>
      <vt:lpstr>SD_CS (f)</vt:lpstr>
      <vt:lpstr>SD_RT (f)</vt:lpstr>
      <vt:lpstr>SD_DP (f)</vt:lpstr>
      <vt:lpstr>SD_Summary (f)</vt:lpstr>
      <vt:lpstr>PR &gt;</vt:lpstr>
      <vt:lpstr>COM_CS</vt:lpstr>
      <vt:lpstr>COM_RT</vt:lpstr>
      <vt:lpstr>COM_DP</vt:lpstr>
      <vt:lpstr>COM_Summary</vt:lpstr>
      <vt:lpstr>SD_CS</vt:lpstr>
      <vt:lpstr>SD_RT</vt:lpstr>
      <vt:lpstr>SD_DP</vt:lpstr>
      <vt:lpstr>SD_Summary</vt:lpstr>
      <vt:lpstr>SEGMENTATION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Marcis Bakis</dc:creator>
  <cp:lastModifiedBy>Dagnija Zepa</cp:lastModifiedBy>
  <dcterms:created xsi:type="dcterms:W3CDTF">2015-06-05T18:17:20Z</dcterms:created>
  <dcterms:modified xsi:type="dcterms:W3CDTF">2026-06-03T10:49:08Z</dcterms:modified>
</cp:coreProperties>
</file>